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uciene.gama\Desktop\"/>
    </mc:Choice>
  </mc:AlternateContent>
  <bookViews>
    <workbookView xWindow="0" yWindow="0" windowWidth="27570" windowHeight="10890" activeTab="2"/>
  </bookViews>
  <sheets>
    <sheet name=" Motorista Executivo I" sheetId="22" r:id="rId1"/>
    <sheet name=" Motorista Executivo II" sheetId="29" r:id="rId2"/>
    <sheet name="Uniformes" sheetId="28" r:id="rId3"/>
    <sheet name="Resumo Geral (MO+MAT.)" sheetId="11" r:id="rId4"/>
    <sheet name="Pesquisa Preços O. Públicos" sheetId="13" r:id="rId5"/>
    <sheet name="Objeto" sheetId="26" r:id="rId6"/>
  </sheets>
  <externalReferences>
    <externalReference r:id="rId7"/>
  </externalReferenc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4" i="11" l="1"/>
  <c r="G17" i="11"/>
  <c r="G16" i="11"/>
  <c r="G15" i="11"/>
  <c r="AB20" i="28"/>
  <c r="E15" i="11"/>
  <c r="C16" i="11"/>
  <c r="C15" i="11"/>
  <c r="G16" i="28"/>
  <c r="G14" i="28"/>
  <c r="G15" i="28"/>
  <c r="G17" i="28"/>
  <c r="G18" i="28"/>
  <c r="G19" i="28"/>
  <c r="AC14" i="28"/>
  <c r="AB21" i="28" l="1"/>
  <c r="AB22" i="28" s="1"/>
  <c r="I22" i="28" l="1"/>
  <c r="I21" i="28"/>
  <c r="I20" i="28"/>
  <c r="I16" i="28" l="1"/>
  <c r="I17" i="28"/>
  <c r="I18" i="28"/>
  <c r="AB19" i="28"/>
  <c r="AB16" i="28"/>
  <c r="AB17" i="28"/>
  <c r="AB18" i="28"/>
  <c r="AC19" i="28"/>
  <c r="I15" i="28" l="1"/>
  <c r="I19" i="28"/>
  <c r="I14" i="28"/>
  <c r="AC15" i="28" l="1"/>
  <c r="AC16" i="28"/>
  <c r="AC17" i="28"/>
  <c r="AC18" i="28"/>
  <c r="AB15" i="28"/>
  <c r="AB14" i="28"/>
  <c r="F100" i="29"/>
  <c r="F98" i="29"/>
  <c r="F95" i="29"/>
  <c r="F96" i="29" s="1"/>
  <c r="G77" i="29"/>
  <c r="F100" i="22"/>
  <c r="F98" i="22"/>
  <c r="F95" i="22"/>
  <c r="F96" i="22" s="1"/>
  <c r="F97" i="22" l="1"/>
  <c r="F97" i="29"/>
  <c r="AA15" i="28" l="1"/>
  <c r="AA16" i="28"/>
  <c r="AA17" i="28"/>
  <c r="AA18" i="28"/>
  <c r="AA19" i="28"/>
  <c r="AA14" i="28"/>
  <c r="W15" i="28" l="1"/>
  <c r="W16" i="28"/>
  <c r="W17" i="28"/>
  <c r="W18" i="28"/>
  <c r="W19" i="28"/>
  <c r="W14" i="28"/>
  <c r="U15" i="28" l="1"/>
  <c r="U16" i="28"/>
  <c r="U17" i="28"/>
  <c r="U18" i="28"/>
  <c r="U19" i="28"/>
  <c r="U14" i="28"/>
  <c r="S17" i="28" l="1"/>
  <c r="S16" i="28"/>
  <c r="Y14" i="28" l="1"/>
  <c r="G77" i="22" l="1"/>
  <c r="Y15" i="28"/>
  <c r="Y16" i="28"/>
  <c r="Y17" i="28"/>
  <c r="Y18" i="28"/>
  <c r="Y19" i="28"/>
  <c r="F13" i="13" l="1"/>
  <c r="H13" i="13"/>
  <c r="J13" i="13"/>
  <c r="G131" i="29" l="1"/>
  <c r="Q15" i="28"/>
  <c r="Q16" i="28"/>
  <c r="Q17" i="28"/>
  <c r="Q18" i="28"/>
  <c r="Q19" i="28"/>
  <c r="Q14" i="28"/>
  <c r="O15" i="28"/>
  <c r="O16" i="28"/>
  <c r="O17" i="28"/>
  <c r="O18" i="28"/>
  <c r="O19" i="28"/>
  <c r="O14" i="28"/>
  <c r="M15" i="28"/>
  <c r="M16" i="28"/>
  <c r="M17" i="28"/>
  <c r="M18" i="28"/>
  <c r="M19" i="28"/>
  <c r="M14" i="28"/>
  <c r="K15" i="28"/>
  <c r="K16" i="28"/>
  <c r="K17" i="28"/>
  <c r="K18" i="28"/>
  <c r="K19" i="28"/>
  <c r="K14" i="28"/>
  <c r="G131" i="22" l="1"/>
  <c r="B16" i="11"/>
  <c r="B13" i="13" s="1"/>
  <c r="E143" i="29" l="1"/>
  <c r="E142" i="29" s="1"/>
  <c r="E145" i="29" s="1"/>
  <c r="G134" i="29"/>
  <c r="F113" i="29"/>
  <c r="F112" i="29"/>
  <c r="F111" i="29"/>
  <c r="F110" i="29"/>
  <c r="F109" i="29"/>
  <c r="F108" i="29"/>
  <c r="F114" i="29" s="1"/>
  <c r="F125" i="29" s="1"/>
  <c r="F69" i="29"/>
  <c r="F99" i="29" s="1"/>
  <c r="F101" i="29" s="1"/>
  <c r="F54" i="29"/>
  <c r="F46" i="29"/>
  <c r="G40" i="29"/>
  <c r="F35" i="29"/>
  <c r="F32" i="29"/>
  <c r="F18" i="29"/>
  <c r="G76" i="29" l="1"/>
  <c r="G43" i="29"/>
  <c r="G41" i="29"/>
  <c r="G42" i="29" s="1"/>
  <c r="G44" i="29" l="1"/>
  <c r="G46" i="29" s="1"/>
  <c r="E143" i="22"/>
  <c r="G151" i="29" l="1"/>
  <c r="G52" i="29"/>
  <c r="G82" i="29"/>
  <c r="G90" i="29" s="1"/>
  <c r="G113" i="29"/>
  <c r="G109" i="29"/>
  <c r="G111" i="29"/>
  <c r="G110" i="29"/>
  <c r="G108" i="29"/>
  <c r="G112" i="29"/>
  <c r="G53" i="29"/>
  <c r="G135" i="29" l="1"/>
  <c r="G155" i="29" s="1"/>
  <c r="G114" i="29"/>
  <c r="G125" i="29" s="1"/>
  <c r="G127" i="29" s="1"/>
  <c r="G154" i="29" s="1"/>
  <c r="G54" i="29"/>
  <c r="G61" i="29" s="1"/>
  <c r="B15" i="11"/>
  <c r="B24" i="11" s="1"/>
  <c r="H15" i="11"/>
  <c r="G88" i="29" l="1"/>
  <c r="G95" i="29"/>
  <c r="G100" i="29"/>
  <c r="G98" i="29"/>
  <c r="G97" i="29"/>
  <c r="G96" i="29"/>
  <c r="G62" i="29"/>
  <c r="G63" i="29"/>
  <c r="G65" i="29"/>
  <c r="G64" i="29"/>
  <c r="G99" i="29"/>
  <c r="G66" i="29"/>
  <c r="G67" i="29"/>
  <c r="G68" i="29"/>
  <c r="B12" i="13"/>
  <c r="G101" i="29" l="1"/>
  <c r="G153" i="29" s="1"/>
  <c r="G69" i="29"/>
  <c r="G89" i="29" s="1"/>
  <c r="G91" i="29" s="1"/>
  <c r="E142" i="22"/>
  <c r="E145" i="22" s="1"/>
  <c r="G134" i="22"/>
  <c r="G135" i="22" s="1"/>
  <c r="F113" i="22"/>
  <c r="F112" i="22"/>
  <c r="F111" i="22"/>
  <c r="F110" i="22"/>
  <c r="F109" i="22"/>
  <c r="F108" i="22"/>
  <c r="F69" i="22"/>
  <c r="F99" i="22" s="1"/>
  <c r="F54" i="22"/>
  <c r="F46" i="22"/>
  <c r="G40" i="22"/>
  <c r="G76" i="22" s="1"/>
  <c r="F35" i="22"/>
  <c r="F32" i="22"/>
  <c r="F18" i="22"/>
  <c r="G152" i="29" l="1"/>
  <c r="G156" i="29" s="1"/>
  <c r="G140" i="29"/>
  <c r="F114" i="22"/>
  <c r="F125" i="22" s="1"/>
  <c r="G155" i="22"/>
  <c r="F101" i="22"/>
  <c r="G41" i="22"/>
  <c r="G42" i="22" s="1"/>
  <c r="G43" i="22" s="1"/>
  <c r="G44" i="22" s="1"/>
  <c r="G141" i="29" l="1"/>
  <c r="G158" i="29" s="1"/>
  <c r="G10" i="26" s="1"/>
  <c r="G46" i="22"/>
  <c r="E16" i="11" l="1"/>
  <c r="H10" i="26"/>
  <c r="G143" i="29"/>
  <c r="G144" i="29"/>
  <c r="G112" i="22"/>
  <c r="G110" i="22"/>
  <c r="G108" i="22"/>
  <c r="G82" i="22"/>
  <c r="G90" i="22" s="1"/>
  <c r="G151" i="22"/>
  <c r="G52" i="22"/>
  <c r="G109" i="22"/>
  <c r="G53" i="22"/>
  <c r="G113" i="22"/>
  <c r="G111" i="22"/>
  <c r="G145" i="29" l="1"/>
  <c r="G157" i="29" s="1"/>
  <c r="G54" i="22"/>
  <c r="G114" i="22"/>
  <c r="G125" i="22" s="1"/>
  <c r="G127" i="22" s="1"/>
  <c r="G64" i="22" l="1"/>
  <c r="G98" i="22"/>
  <c r="G63" i="22"/>
  <c r="G100" i="22"/>
  <c r="G61" i="22"/>
  <c r="G88" i="22"/>
  <c r="G99" i="22"/>
  <c r="G95" i="22"/>
  <c r="G97" i="22"/>
  <c r="G96" i="22"/>
  <c r="G154" i="22"/>
  <c r="G68" i="22"/>
  <c r="G65" i="22"/>
  <c r="G67" i="22"/>
  <c r="G62" i="22"/>
  <c r="G66" i="22"/>
  <c r="G101" i="22" l="1"/>
  <c r="G69" i="22"/>
  <c r="G89" i="22" s="1"/>
  <c r="G91" i="22" s="1"/>
  <c r="G152" i="22" s="1"/>
  <c r="G153" i="22" l="1"/>
  <c r="G156" i="22" s="1"/>
  <c r="G140" i="22"/>
  <c r="G141" i="22" l="1"/>
  <c r="G158" i="22" s="1"/>
  <c r="F12" i="13" l="1"/>
  <c r="G9" i="26"/>
  <c r="H9" i="26" s="1"/>
  <c r="H12" i="26" s="1"/>
  <c r="H13" i="26" s="1"/>
  <c r="H14" i="26" s="1"/>
  <c r="G143" i="22"/>
  <c r="G144" i="22"/>
  <c r="G145" i="22" l="1"/>
  <c r="G157" i="22" s="1"/>
  <c r="G24" i="11" l="1"/>
  <c r="J12" i="13"/>
  <c r="H12" i="13"/>
  <c r="G25" i="11" l="1"/>
  <c r="E32" i="11" s="1"/>
  <c r="E33" i="11" s="1"/>
  <c r="G26" i="11" l="1"/>
  <c r="G32" i="11" s="1"/>
  <c r="G33" i="11" l="1"/>
</calcChain>
</file>

<file path=xl/comments1.xml><?xml version="1.0" encoding="utf-8"?>
<comments xmlns="http://schemas.openxmlformats.org/spreadsheetml/2006/main">
  <authors>
    <author>gestor_seg</author>
  </authors>
  <commentList>
    <comment ref="F110" authorId="0" shapeId="0">
      <text>
        <r>
          <rPr>
            <b/>
            <sz val="8"/>
            <color indexed="81"/>
            <rFont val="Tahoma"/>
            <family val="2"/>
          </rPr>
          <t xml:space="preserve">1,5% / 12 = 0,13%
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gestor_seg</author>
  </authors>
  <commentList>
    <comment ref="F110" authorId="0" shapeId="0">
      <text>
        <r>
          <rPr>
            <b/>
            <sz val="8"/>
            <color indexed="81"/>
            <rFont val="Tahoma"/>
            <family val="2"/>
          </rPr>
          <t xml:space="preserve">1,5% / 12 = 0,13%
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<sst xmlns="http://schemas.openxmlformats.org/spreadsheetml/2006/main" count="616" uniqueCount="259">
  <si>
    <t>MINISTÉRIO DE MINAS E ENERGIA</t>
  </si>
  <si>
    <t>Secretaria Executiva</t>
  </si>
  <si>
    <t>Subsecretaria de Planejamento, Orçamento e Administração</t>
  </si>
  <si>
    <t>Coordenação Geral de Recursos Logísticos</t>
  </si>
  <si>
    <t>Coordenação de Atividades Gerais</t>
  </si>
  <si>
    <t>Item</t>
  </si>
  <si>
    <t>Valor (R$)</t>
  </si>
  <si>
    <t>Total Anual</t>
  </si>
  <si>
    <t>Total</t>
  </si>
  <si>
    <t>Un</t>
  </si>
  <si>
    <t xml:space="preserve">PLANILHA DE CUSTO E FORMAÇÃO DE PREÇOS DE MÃO-DE-OBRA                                                                                                                                                                 </t>
  </si>
  <si>
    <t>ANEXO VII-D - Instrução Normativa nº 5/2017-SEGES/MPDG -  INSTRUÇÃO NORMATIVA Nº 7, DE 20 DE SETEMBRO DE 2018 - SEM DESONERAÇÃO DO INSS</t>
  </si>
  <si>
    <t>Dia ___/___/_____ às ___:___ horas</t>
  </si>
  <si>
    <t>DISCRIMINAÇÃO DOS SERVIÇOS (DADOS REFERENTES À CONTRATAÇÃO)</t>
  </si>
  <si>
    <t>A</t>
  </si>
  <si>
    <t xml:space="preserve">Data de apresentação da proposta (dia/mês/ano) </t>
  </si>
  <si>
    <t>B</t>
  </si>
  <si>
    <t xml:space="preserve">Município/UF </t>
  </si>
  <si>
    <t>Brasília/DF</t>
  </si>
  <si>
    <t>C</t>
  </si>
  <si>
    <t xml:space="preserve">Ano do Acordo, Convenção ou Dissídio Coletivo  </t>
  </si>
  <si>
    <t>D</t>
  </si>
  <si>
    <t>IDENTIFICAÇÃO DO SERVIÇO</t>
  </si>
  <si>
    <t>Tipo de Serviço</t>
  </si>
  <si>
    <t>Unidade de Medida</t>
  </si>
  <si>
    <t> Quantidade total a contratar          (em função da unidade de medida)</t>
  </si>
  <si>
    <t>Posto</t>
  </si>
  <si>
    <t>MÓDULOS</t>
  </si>
  <si>
    <t>Mão-de-obra vinculada à execução contratual</t>
  </si>
  <si>
    <t>Dados complementares para composição dos custos referente à mão-de-obra</t>
  </si>
  <si>
    <t>Tipo de serviço (mesmo serviço com características distintas)</t>
  </si>
  <si>
    <t>Classificação Brasileira de Ocupações (CBO)</t>
  </si>
  <si>
    <t>Categoria profissional (vinculada à execução contratual)</t>
  </si>
  <si>
    <t>Composição da Remuneração</t>
  </si>
  <si>
    <t>%</t>
  </si>
  <si>
    <t>Salário Base - 44 hs/semana</t>
  </si>
  <si>
    <t xml:space="preserve">Adicional  de Insalubridade </t>
  </si>
  <si>
    <t>Adicional Noturno</t>
  </si>
  <si>
    <t>E</t>
  </si>
  <si>
    <t>Adicional de Hora Noturna Reduzida</t>
  </si>
  <si>
    <t>F</t>
  </si>
  <si>
    <t xml:space="preserve">Outros (especificar)                                                                                              </t>
  </si>
  <si>
    <t>Total da Remuneração</t>
  </si>
  <si>
    <t>MÓDULO 2:   ENCARGOS E BENEFÍCIOS ANUAIS, MENSAIS E DIÁRIOS</t>
  </si>
  <si>
    <t>Submódulo 2.1 - 13º (décimo teceiro) Salário, Férias e Adicional de Férias</t>
  </si>
  <si>
    <t>2.1</t>
  </si>
  <si>
    <t>13º (décimo teceiro) Salário, Férias e Adicional de Férias</t>
  </si>
  <si>
    <t>13º (décimo terceiro) Salário</t>
  </si>
  <si>
    <t>Férias e Adicional de Férias</t>
  </si>
  <si>
    <t>Submódulo 2.2 - Encargos Previdenciários (GPS), Fundo de Garantia por Tempo de Serviço (FGTS) e outras contribuições</t>
  </si>
  <si>
    <t>2.2</t>
  </si>
  <si>
    <t>GPS, FGTS e outras contribuições</t>
  </si>
  <si>
    <t>Percentual (%)</t>
  </si>
  <si>
    <t>INSS</t>
  </si>
  <si>
    <t xml:space="preserve">Salário Educação </t>
  </si>
  <si>
    <t xml:space="preserve">SAT - Seguro de Acidente do Trabalho </t>
  </si>
  <si>
    <t>SESC ou SESI</t>
  </si>
  <si>
    <t>SENAI ou SENAC</t>
  </si>
  <si>
    <t>SEBRAE</t>
  </si>
  <si>
    <t>G</t>
  </si>
  <si>
    <t>INCRA</t>
  </si>
  <si>
    <t>H</t>
  </si>
  <si>
    <t>FGTS</t>
  </si>
  <si>
    <t>Nota 3: Esses percentuais incidem sobre o Módulo 1, Submódulo 2.1 e no Modulo 4 - Custo de Reposição do Profissional Ausente</t>
  </si>
  <si>
    <t>Submódulo 2.3 - Benefícios Mensais e Diários</t>
  </si>
  <si>
    <t>2.3</t>
  </si>
  <si>
    <t>Benefícios Mensais e Diários</t>
  </si>
  <si>
    <t xml:space="preserve">Auxílio Creche </t>
  </si>
  <si>
    <t>QUADRO-RESUMO DO MÓDULO 2 - ENCARGOS E BENEFÍCIOS ANUAIS, MENSAIS E DIÁRIOS</t>
  </si>
  <si>
    <t>Encargos e Benefícios Anuais, Mensais e Diários</t>
  </si>
  <si>
    <t>13º (décimo terceiro) Salário, Férias e Adicional de Férias</t>
  </si>
  <si>
    <t>MÓDULO 3 - PROVISÃO PARA RESCISÃO</t>
  </si>
  <si>
    <t>Provisão para Rescisão</t>
  </si>
  <si>
    <t>MÓDULO 4 - CUSTO DE REPOSIÇÃO DO PROFISSIONAL AUSENTE</t>
  </si>
  <si>
    <t xml:space="preserve">Submódulo 4.1 - Substituto nas Ausências Legais </t>
  </si>
  <si>
    <t>4.1</t>
  </si>
  <si>
    <t>Substituto nas Ausências Legais</t>
  </si>
  <si>
    <t>Substituto na cobertura de Férias</t>
  </si>
  <si>
    <t>Substituto na cobertura de Outras ausências (5 ausencias/por ano)</t>
  </si>
  <si>
    <t xml:space="preserve">Submódulo 4.2 - Substituto na Intrajornada </t>
  </si>
  <si>
    <t>4.2</t>
  </si>
  <si>
    <t xml:space="preserve">Substituto na Intrajornada </t>
  </si>
  <si>
    <t>Substituto na cobertura de Intervalo para repouso ou alimentação</t>
  </si>
  <si>
    <t xml:space="preserve">QUADRO-RESUMO DO MÓDULO 4 - CUSTO DE REPOSIÇÃO DO PROFISSIONAL AUSENTE </t>
  </si>
  <si>
    <t>Custo de Reposição do Profissional Ausente</t>
  </si>
  <si>
    <t xml:space="preserve">Substituto nas Ausências Legais </t>
  </si>
  <si>
    <t>MÓDULO 5 - INSUMOS DIVERSOS</t>
  </si>
  <si>
    <t>Insumos Diversos</t>
  </si>
  <si>
    <t>Uniformes</t>
  </si>
  <si>
    <t>MÓDULO 6 - CUSTOS INDIRETOS, TRIBUTOS E LUCRO</t>
  </si>
  <si>
    <t>Custos Indiretos, Tributos e Lucro</t>
  </si>
  <si>
    <t>Custos Indiretos</t>
  </si>
  <si>
    <t xml:space="preserve">Lucro  (Estudo TCU - TC 025.990/2008-2) </t>
  </si>
  <si>
    <t>Tributos</t>
  </si>
  <si>
    <t>2. QUADRO-RESUMO DO CUSTO POR EMPREGADO</t>
  </si>
  <si>
    <t>Mão-de-obra vinculada à execução contratual (valor por empregado)</t>
  </si>
  <si>
    <t>(R$)</t>
  </si>
  <si>
    <t>Subtotal (A + B +C+ D+E)</t>
  </si>
  <si>
    <t>Valor total por empregado</t>
  </si>
  <si>
    <t>01 de janeiro</t>
  </si>
  <si>
    <t>Descrição</t>
  </si>
  <si>
    <t>Outros</t>
  </si>
  <si>
    <r>
      <t>N</t>
    </r>
    <r>
      <rPr>
        <b/>
        <strike/>
        <sz val="9"/>
        <color theme="1"/>
        <rFont val="Calibri Light"/>
        <family val="2"/>
        <scheme val="major"/>
      </rPr>
      <t>º</t>
    </r>
    <r>
      <rPr>
        <b/>
        <sz val="9"/>
        <color theme="1"/>
        <rFont val="Calibri Light"/>
        <family val="2"/>
        <scheme val="major"/>
      </rPr>
      <t xml:space="preserve"> Processo: </t>
    </r>
  </si>
  <si>
    <r>
      <t>Licitação N</t>
    </r>
    <r>
      <rPr>
        <b/>
        <strike/>
        <sz val="9"/>
        <color theme="1"/>
        <rFont val="Calibri Light"/>
        <family val="2"/>
        <scheme val="major"/>
      </rPr>
      <t>º</t>
    </r>
    <r>
      <rPr>
        <b/>
        <sz val="9"/>
        <color theme="1"/>
        <rFont val="Calibri Light"/>
        <family val="2"/>
        <scheme val="major"/>
      </rPr>
      <t xml:space="preserve"> </t>
    </r>
  </si>
  <si>
    <r>
      <t>N</t>
    </r>
    <r>
      <rPr>
        <strike/>
        <sz val="10"/>
        <color theme="1"/>
        <rFont val="Calibri Light"/>
        <family val="2"/>
        <scheme val="major"/>
      </rPr>
      <t>º</t>
    </r>
    <r>
      <rPr>
        <sz val="10"/>
        <color theme="1"/>
        <rFont val="Calibri Light"/>
        <family val="2"/>
        <scheme val="major"/>
      </rPr>
      <t xml:space="preserve"> de meses de execução contratual</t>
    </r>
  </si>
  <si>
    <r>
      <rPr>
        <b/>
        <sz val="8"/>
        <color theme="1"/>
        <rFont val="Calibri Light"/>
        <family val="2"/>
        <scheme val="major"/>
      </rPr>
      <t>Nota 1:</t>
    </r>
    <r>
      <rPr>
        <sz val="8"/>
        <color theme="1"/>
        <rFont val="Calibri Light"/>
        <family val="2"/>
        <scheme val="major"/>
      </rPr>
      <t xml:space="preserve"> Esta tabela poderá ser adaptada às características do serviço contratado, inclusive no que concerne às rubricas e suas respectivas provisões e/ou estimativas, desde que haja justificativa.</t>
    </r>
  </si>
  <si>
    <r>
      <rPr>
        <b/>
        <sz val="8"/>
        <color theme="1"/>
        <rFont val="Calibri Light"/>
        <family val="2"/>
        <scheme val="major"/>
      </rPr>
      <t>Nota 2:</t>
    </r>
    <r>
      <rPr>
        <sz val="8"/>
        <color theme="1"/>
        <rFont val="Calibri Light"/>
        <family val="2"/>
        <scheme val="major"/>
      </rPr>
      <t xml:space="preserve"> As provisões constantes desta planilha poderão ser desnecessárias quando se tratar de determinados serviços que prescindam da dedicação exclusiva dos trabalhadores da contratada para com a Administração.</t>
    </r>
  </si>
  <si>
    <r>
      <t> </t>
    </r>
    <r>
      <rPr>
        <b/>
        <sz val="9"/>
        <color theme="1"/>
        <rFont val="Calibri Light"/>
        <family val="2"/>
        <scheme val="major"/>
      </rPr>
      <t>MÓDULO 1 :   COMPOSIÇÃO DA REMUNERAÇÃO</t>
    </r>
  </si>
  <si>
    <r>
      <t xml:space="preserve">Adicional de Periculosidade                                                                                           </t>
    </r>
    <r>
      <rPr>
        <sz val="8"/>
        <color theme="1"/>
        <rFont val="Calibri Light"/>
        <family val="2"/>
        <scheme val="major"/>
      </rPr>
      <t xml:space="preserve">                                      </t>
    </r>
  </si>
  <si>
    <r>
      <rPr>
        <b/>
        <sz val="8"/>
        <color theme="1"/>
        <rFont val="Calibri Light"/>
        <family val="2"/>
        <scheme val="major"/>
      </rPr>
      <t>Nota 1:</t>
    </r>
    <r>
      <rPr>
        <sz val="8"/>
        <color theme="1"/>
        <rFont val="Calibri Light"/>
        <family val="2"/>
        <scheme val="major"/>
      </rPr>
      <t xml:space="preserve"> O </t>
    </r>
    <r>
      <rPr>
        <b/>
        <sz val="8"/>
        <color theme="1"/>
        <rFont val="Calibri Light"/>
        <family val="2"/>
        <scheme val="major"/>
      </rPr>
      <t>Módulo 1</t>
    </r>
    <r>
      <rPr>
        <sz val="8"/>
        <color theme="1"/>
        <rFont val="Calibri Light"/>
        <family val="2"/>
        <scheme val="major"/>
      </rPr>
      <t xml:space="preserve"> refere-se ao valor mensal devido ao empregado pela prestação do serviço no período de 12 meses. </t>
    </r>
  </si>
  <si>
    <r>
      <rPr>
        <b/>
        <sz val="8"/>
        <color theme="1"/>
        <rFont val="Calibri Light"/>
        <family val="2"/>
        <scheme val="major"/>
      </rPr>
      <t xml:space="preserve">Nota 1: </t>
    </r>
    <r>
      <rPr>
        <sz val="8"/>
        <color theme="1"/>
        <rFont val="Calibri Light"/>
        <family val="2"/>
        <scheme val="major"/>
      </rPr>
      <t>Como a planilha de custos e formação de preços é calculada mensalmente, provisiona-se proporcionalmente 1/12 (um doze avos) dos valores referentes a gratificação natalina, férias e adicional de férias.</t>
    </r>
  </si>
  <si>
    <r>
      <rPr>
        <b/>
        <sz val="8"/>
        <color theme="1"/>
        <rFont val="Calibri Light"/>
        <family val="2"/>
        <scheme val="major"/>
      </rPr>
      <t xml:space="preserve">Nota 2: </t>
    </r>
    <r>
      <rPr>
        <sz val="8"/>
        <color theme="1"/>
        <rFont val="Calibri Light"/>
        <family val="2"/>
        <scheme val="major"/>
      </rPr>
      <t>O adicional de férias contido no Submódulo 2.1 corresponde a 1/3 (um terço) da remuneração que por sua vez é divido por 12 (doze) conforme Nota 1 acima</t>
    </r>
  </si>
  <si>
    <r>
      <rPr>
        <b/>
        <sz val="8"/>
        <color theme="1"/>
        <rFont val="Calibri Light"/>
        <family val="2"/>
        <scheme val="major"/>
      </rPr>
      <t>Nota 1:</t>
    </r>
    <r>
      <rPr>
        <sz val="8"/>
        <color theme="1"/>
        <rFont val="Calibri Light"/>
        <family val="2"/>
        <scheme val="major"/>
      </rPr>
      <t xml:space="preserve"> Os percentuais dos encargos previdenciários, do FGTS e demais contribuições são aqueles estabelecidos pela legislação vigente.</t>
    </r>
  </si>
  <si>
    <r>
      <rPr>
        <b/>
        <sz val="8"/>
        <color theme="1"/>
        <rFont val="Calibri Light"/>
        <family val="2"/>
        <scheme val="major"/>
      </rPr>
      <t xml:space="preserve">Nota 2: </t>
    </r>
    <r>
      <rPr>
        <sz val="8"/>
        <color theme="1"/>
        <rFont val="Calibri Light"/>
        <family val="2"/>
        <scheme val="major"/>
      </rPr>
      <t>O</t>
    </r>
    <r>
      <rPr>
        <b/>
        <sz val="8"/>
        <color theme="1"/>
        <rFont val="Calibri Light"/>
        <family val="2"/>
        <scheme val="major"/>
      </rPr>
      <t xml:space="preserve"> SAT</t>
    </r>
    <r>
      <rPr>
        <sz val="8"/>
        <color theme="1"/>
        <rFont val="Calibri Light"/>
        <family val="2"/>
        <scheme val="major"/>
      </rPr>
      <t xml:space="preserve"> a depender do grau de risco do serviço irá </t>
    </r>
    <r>
      <rPr>
        <b/>
        <sz val="8"/>
        <color theme="1"/>
        <rFont val="Calibri Light"/>
        <family val="2"/>
        <scheme val="major"/>
      </rPr>
      <t>variar entre 1%, para risco leve, de 2%, para risco médio, e de 3% de risco grave.</t>
    </r>
  </si>
  <si>
    <r>
      <rPr>
        <b/>
        <sz val="8"/>
        <color theme="1"/>
        <rFont val="Calibri Light"/>
        <family val="2"/>
        <scheme val="major"/>
      </rPr>
      <t>Nota 1:</t>
    </r>
    <r>
      <rPr>
        <sz val="8"/>
        <color theme="1"/>
        <rFont val="Calibri Light"/>
        <family val="2"/>
        <scheme val="major"/>
      </rPr>
      <t xml:space="preserve"> O valor informado deverá ser o custo real do benefício (descontado o valor eventualmente pago pelo empregado).</t>
    </r>
  </si>
  <si>
    <r>
      <rPr>
        <b/>
        <sz val="8"/>
        <color theme="1"/>
        <rFont val="Calibri Light"/>
        <family val="2"/>
        <scheme val="major"/>
      </rPr>
      <t>Nota 2:</t>
    </r>
    <r>
      <rPr>
        <sz val="8"/>
        <color theme="1"/>
        <rFont val="Calibri Light"/>
        <family val="2"/>
        <scheme val="major"/>
      </rPr>
      <t xml:space="preserve"> Observar a previsão dos benefícios contidos em Acordos, Convenções e Dissídios Coletivos de Trabalho e atentar-se ao disposto no art. 6º desta Instrução Normativa.</t>
    </r>
  </si>
  <si>
    <r>
      <t xml:space="preserve">Nota 1: </t>
    </r>
    <r>
      <rPr>
        <sz val="8"/>
        <color theme="1"/>
        <rFont val="Calibri Light"/>
        <family val="2"/>
        <scheme val="major"/>
      </rPr>
      <t>Os itens que contemplam o</t>
    </r>
    <r>
      <rPr>
        <b/>
        <sz val="8"/>
        <color theme="1"/>
        <rFont val="Calibri Light"/>
        <family val="2"/>
        <scheme val="major"/>
      </rPr>
      <t xml:space="preserve"> módulo 4 se referem ao custo dos dias trabalhados pelo repositor/substituto, quando </t>
    </r>
    <r>
      <rPr>
        <sz val="8"/>
        <color theme="1"/>
        <rFont val="Calibri Light"/>
        <family val="2"/>
        <scheme val="major"/>
      </rPr>
      <t>o empregado</t>
    </r>
    <r>
      <rPr>
        <b/>
        <sz val="8"/>
        <color theme="1"/>
        <rFont val="Calibri Light"/>
        <family val="2"/>
        <scheme val="major"/>
      </rPr>
      <t xml:space="preserve"> alocado na prestação de serviço estiver ausente, </t>
    </r>
    <r>
      <rPr>
        <sz val="8"/>
        <color theme="1"/>
        <rFont val="Calibri Light"/>
        <family val="2"/>
        <scheme val="major"/>
      </rPr>
      <t>conforme as previsões estabelecidas na legislação.</t>
    </r>
  </si>
  <si>
    <r>
      <t xml:space="preserve">Substituto na cobertura de Ausências Legais </t>
    </r>
    <r>
      <rPr>
        <sz val="8"/>
        <color theme="1"/>
        <rFont val="Calibri Light"/>
        <family val="2"/>
        <scheme val="major"/>
      </rPr>
      <t>(estatística - uma/ano) = (1/12)/30</t>
    </r>
  </si>
  <si>
    <r>
      <t xml:space="preserve">Substituto na cobertura de Licença-Paternidade </t>
    </r>
    <r>
      <rPr>
        <sz val="8"/>
        <color theme="1"/>
        <rFont val="Calibri Light"/>
        <family val="2"/>
        <scheme val="major"/>
      </rPr>
      <t>(Estatística 1,5 % trabalhadores/ano)</t>
    </r>
  </si>
  <si>
    <r>
      <t>Substituto na cobertura de Ausência por Acidente de Trabalho</t>
    </r>
    <r>
      <rPr>
        <sz val="8"/>
        <color theme="1"/>
        <rFont val="Calibri Light"/>
        <family val="2"/>
        <scheme val="major"/>
      </rPr>
      <t xml:space="preserve"> (estatística IBGE - 8% por ano - 15 dias pagos pela empresa) = [(8%)/12]/2</t>
    </r>
  </si>
  <si>
    <r>
      <t xml:space="preserve">Substituto na cobertura de Afastamento Maternidade </t>
    </r>
    <r>
      <rPr>
        <sz val="8"/>
        <color theme="1"/>
        <rFont val="Calibri Light"/>
        <family val="2"/>
        <scheme val="major"/>
      </rPr>
      <t>(Estatística 1,5 % trabalhadoras/ano) = (1,5%)/12</t>
    </r>
  </si>
  <si>
    <r>
      <rPr>
        <b/>
        <sz val="8"/>
        <color theme="1"/>
        <rFont val="Calibri Light"/>
        <family val="2"/>
        <scheme val="major"/>
      </rPr>
      <t xml:space="preserve">Nota: </t>
    </r>
    <r>
      <rPr>
        <sz val="8"/>
        <color theme="1"/>
        <rFont val="Calibri Light"/>
        <family val="2"/>
        <scheme val="major"/>
      </rPr>
      <t>As alíneas “A” a “F” referem-se somente ao custo que será pago ao repositor pelos dias trabalhados quando da necessidade de substituir a mão de obra alocada na prestação do serviço.</t>
    </r>
  </si>
  <si>
    <r>
      <rPr>
        <b/>
        <sz val="8"/>
        <color theme="1"/>
        <rFont val="Calibri Light"/>
        <family val="2"/>
        <scheme val="major"/>
      </rPr>
      <t xml:space="preserve">Nota: </t>
    </r>
    <r>
      <rPr>
        <sz val="8"/>
        <color theme="1"/>
        <rFont val="Calibri Light"/>
        <family val="2"/>
        <scheme val="major"/>
      </rPr>
      <t>Quando houver a necessidade de reposição de um empregado durante sua ausência nos casos de intervalo para repouso ou alimentação deve-se contemplar o Submódulo 4.2.</t>
    </r>
  </si>
  <si>
    <r>
      <rPr>
        <b/>
        <sz val="8"/>
        <color theme="1"/>
        <rFont val="Calibri Light"/>
        <family val="2"/>
        <scheme val="major"/>
      </rPr>
      <t xml:space="preserve">Nota: </t>
    </r>
    <r>
      <rPr>
        <sz val="8"/>
        <color theme="1"/>
        <rFont val="Calibri Light"/>
        <family val="2"/>
        <scheme val="major"/>
      </rPr>
      <t>Valores mensais por empregado</t>
    </r>
  </si>
  <si>
    <r>
      <rPr>
        <b/>
        <sz val="10"/>
        <color theme="1"/>
        <rFont val="Calibri Light"/>
        <family val="2"/>
        <scheme val="major"/>
      </rPr>
      <t>C.2.</t>
    </r>
    <r>
      <rPr>
        <sz val="10"/>
        <color theme="1"/>
        <rFont val="Calibri Light"/>
        <family val="2"/>
        <scheme val="major"/>
      </rPr>
      <t xml:space="preserve"> Tributos Estaduais  - ISS (5%) (Distrito Federal)</t>
    </r>
  </si>
  <si>
    <r>
      <rPr>
        <b/>
        <sz val="8"/>
        <color theme="1"/>
        <rFont val="Calibri Light"/>
        <family val="2"/>
        <scheme val="major"/>
      </rPr>
      <t xml:space="preserve">Nota 1: </t>
    </r>
    <r>
      <rPr>
        <sz val="8"/>
        <color theme="1"/>
        <rFont val="Calibri Light"/>
        <family val="2"/>
        <scheme val="major"/>
      </rPr>
      <t>Custos Indiretos, Tributos e Lucro por empregado</t>
    </r>
  </si>
  <si>
    <r>
      <rPr>
        <b/>
        <sz val="8"/>
        <color theme="1"/>
        <rFont val="Calibri Light"/>
        <family val="2"/>
        <scheme val="major"/>
      </rPr>
      <t xml:space="preserve">Nota 2: </t>
    </r>
    <r>
      <rPr>
        <sz val="8"/>
        <color theme="1"/>
        <rFont val="Calibri Light"/>
        <family val="2"/>
        <scheme val="major"/>
      </rPr>
      <t>O valor referente a tributos é obtido aplicando-se o percentual sobre o valor do faturamento.</t>
    </r>
  </si>
  <si>
    <r>
      <rPr>
        <b/>
        <sz val="10"/>
        <color theme="1"/>
        <rFont val="Calibri Light"/>
        <family val="2"/>
        <scheme val="major"/>
      </rPr>
      <t>Módulo 1</t>
    </r>
    <r>
      <rPr>
        <sz val="10"/>
        <color theme="1"/>
        <rFont val="Calibri Light"/>
        <family val="2"/>
        <scheme val="major"/>
      </rPr>
      <t xml:space="preserve"> – Composição da Remuneração</t>
    </r>
  </si>
  <si>
    <r>
      <rPr>
        <b/>
        <sz val="10"/>
        <color theme="1"/>
        <rFont val="Calibri Light"/>
        <family val="2"/>
        <scheme val="major"/>
      </rPr>
      <t xml:space="preserve">Módulo 2 </t>
    </r>
    <r>
      <rPr>
        <sz val="10"/>
        <color theme="1"/>
        <rFont val="Calibri Light"/>
        <family val="2"/>
        <scheme val="major"/>
      </rPr>
      <t>– Encargos e Benefícios Anuais, Mensais e Diários</t>
    </r>
  </si>
  <si>
    <r>
      <rPr>
        <b/>
        <sz val="10"/>
        <color theme="1"/>
        <rFont val="Calibri Light"/>
        <family val="2"/>
        <scheme val="major"/>
      </rPr>
      <t>Módulo 3</t>
    </r>
    <r>
      <rPr>
        <sz val="10"/>
        <color theme="1"/>
        <rFont val="Calibri Light"/>
        <family val="2"/>
        <scheme val="major"/>
      </rPr>
      <t xml:space="preserve"> – Provisão para Rescisão</t>
    </r>
  </si>
  <si>
    <r>
      <rPr>
        <b/>
        <sz val="10"/>
        <color theme="1"/>
        <rFont val="Calibri Light"/>
        <family val="2"/>
        <scheme val="major"/>
      </rPr>
      <t>Módulo 4</t>
    </r>
    <r>
      <rPr>
        <sz val="10"/>
        <color theme="1"/>
        <rFont val="Calibri Light"/>
        <family val="2"/>
        <scheme val="major"/>
      </rPr>
      <t xml:space="preserve"> – Custo de Reposição do Profissional Ausente</t>
    </r>
  </si>
  <si>
    <r>
      <rPr>
        <b/>
        <sz val="10"/>
        <color theme="1"/>
        <rFont val="Calibri Light"/>
        <family val="2"/>
        <scheme val="major"/>
      </rPr>
      <t xml:space="preserve">Módulo 5 </t>
    </r>
    <r>
      <rPr>
        <sz val="10"/>
        <color theme="1"/>
        <rFont val="Calibri Light"/>
        <family val="2"/>
        <scheme val="major"/>
      </rPr>
      <t>- Insumos Diversos</t>
    </r>
  </si>
  <si>
    <r>
      <rPr>
        <b/>
        <sz val="10"/>
        <color theme="1"/>
        <rFont val="Calibri Light"/>
        <family val="2"/>
        <scheme val="major"/>
      </rPr>
      <t>Módulo 6</t>
    </r>
    <r>
      <rPr>
        <sz val="10"/>
        <color theme="1"/>
        <rFont val="Calibri Light"/>
        <family val="2"/>
        <scheme val="major"/>
      </rPr>
      <t xml:space="preserve"> – Custos Indiretos, Tributos e Lucro</t>
    </r>
  </si>
  <si>
    <t>Anexo V - Quadro-resumo – VALOR MENSAL DOS SERVIÇOS</t>
  </si>
  <si>
    <t>Tipo de serviço</t>
  </si>
  <si>
    <t>Valor proposto por empregado</t>
  </si>
  <si>
    <t>Qtde de empregado por posto</t>
  </si>
  <si>
    <t>Valor proposto por posto</t>
  </si>
  <si>
    <t>Qtde de postos</t>
  </si>
  <si>
    <t>Valor total do serviço</t>
  </si>
  <si>
    <t>Qtde de empregado por tipo de serviço</t>
  </si>
  <si>
    <t>(A)</t>
  </si>
  <si>
    <t>(B)</t>
  </si>
  <si>
    <t>(C)</t>
  </si>
  <si>
    <t>(D) = (B x C)</t>
  </si>
  <si>
    <t>(E)</t>
  </si>
  <si>
    <t>(F) = (D x E)</t>
  </si>
  <si>
    <t>I</t>
  </si>
  <si>
    <t>Anexo V - Quadro - demonstrativo - VALOR GLOBAL DA PROPOSTA</t>
  </si>
  <si>
    <t>Valor Global da Proposta</t>
  </si>
  <si>
    <t>Valor proposto por unidade de medida *</t>
  </si>
  <si>
    <t>A1</t>
  </si>
  <si>
    <t>Valor mensal do serviço</t>
  </si>
  <si>
    <t>Valor global da proposta (valor mensal do serviço x 12 meses do contrato).</t>
  </si>
  <si>
    <t>         Nota (1): Informar o valor da unidade de medida por tipo de serviço.</t>
  </si>
  <si>
    <t>VALOR GLOBAL TOTAL ANUAL (SERVIÇOS/MÃO DE OBRA + MATERIAIS)</t>
  </si>
  <si>
    <t>Mensal  (R$)</t>
  </si>
  <si>
    <t>Anual (R$)</t>
  </si>
  <si>
    <t>Mão de Obra</t>
  </si>
  <si>
    <t>TOTAL GERAL MENSAL E ANUAL</t>
  </si>
  <si>
    <t xml:space="preserve">Categoria profissional </t>
  </si>
  <si>
    <t>Un.</t>
  </si>
  <si>
    <t xml:space="preserve">Valor Mensal Estimado  MME </t>
  </si>
  <si>
    <t>Órgão Público</t>
  </si>
  <si>
    <t>Valor Mensal Contratado</t>
  </si>
  <si>
    <t>Diferença % em relação ao MME</t>
  </si>
  <si>
    <t>Análise  da pesquisa</t>
  </si>
  <si>
    <t>Total Mensal</t>
  </si>
  <si>
    <t>Unidade de  Medida</t>
  </si>
  <si>
    <t>CBO</t>
  </si>
  <si>
    <t>Quantidade</t>
  </si>
  <si>
    <t>Empregado por Posto</t>
  </si>
  <si>
    <t>Total de empregados</t>
  </si>
  <si>
    <t>Postos  (a)</t>
  </si>
  <si>
    <t>Unit.  (b)</t>
  </si>
  <si>
    <t>Total  (c)=(a)x(b)</t>
  </si>
  <si>
    <t>Valor de Referencia  Mensal  (R$)</t>
  </si>
  <si>
    <t>SECRETARIA-EXECUTIVA</t>
  </si>
  <si>
    <t>SUBSECRETARIA DE PLANEJAMENTO, ORÇAMENTO E ADMINISTRAÇÃO</t>
  </si>
  <si>
    <t>COORDENAÇÃO-GERAL DE RECURSOS LOGÍSTICOS</t>
  </si>
  <si>
    <t>COORDENÇÃO DE ATIVIDADES GERAIS</t>
  </si>
  <si>
    <t xml:space="preserve">ANEXO VII-D - Instrução Normativa nº 5/2017-SEGES/MPDG -  INSTRUÇÃO NORMATIVA Nº 7, DE 20 DE SETEMBRO DE 2018 - SEM DESONERAÇÃO DO INSS </t>
  </si>
  <si>
    <t>Especificações</t>
  </si>
  <si>
    <t xml:space="preserve">Quantidade/Funcionário </t>
  </si>
  <si>
    <t>1º mês</t>
  </si>
  <si>
    <t>un</t>
  </si>
  <si>
    <t>Par de sapatos, tipo esporte fino, com cadarço, de couro, solado de borracha, cor preta, de boa qualidade.</t>
  </si>
  <si>
    <t>par</t>
  </si>
  <si>
    <t>Cinto, tipo esporte fino, de couro e cor preta, de boa qualidade.</t>
  </si>
  <si>
    <t>TOTAL GERAL ANUAL</t>
  </si>
  <si>
    <t xml:space="preserve">PLANILHA DE CUSTO E FORMAÇÃO DE PREÇOS DE MÃO-DE-OBRA PARA A PRESTAÇÃO DE SERVIÇOS DE MOTORISTA                                                                                                                                                           </t>
  </si>
  <si>
    <t>Uniforme Motoristas</t>
  </si>
  <si>
    <t>TOTAL MENSAL/MOTORISTAS</t>
  </si>
  <si>
    <t>Total Anual    Por Func.</t>
  </si>
  <si>
    <t>Dispensa Eletrônica nº 10/2022 - MME - 10/05/2020 - EMPREENDIMENTO LGA  CNPJ  37.278.582/0001-82</t>
  </si>
  <si>
    <r>
      <t xml:space="preserve">Seguro de Vida e Assistência Funeral - </t>
    </r>
    <r>
      <rPr>
        <sz val="8"/>
        <color theme="1"/>
        <rFont val="Calibri Light"/>
        <family val="2"/>
        <scheme val="major"/>
      </rPr>
      <t>CLÁUSULA DÉCIMA TERCEIRA</t>
    </r>
  </si>
  <si>
    <r>
      <rPr>
        <b/>
        <sz val="10"/>
        <color theme="1"/>
        <rFont val="Calibri Light"/>
        <family val="2"/>
        <scheme val="major"/>
      </rPr>
      <t>C.1.</t>
    </r>
    <r>
      <rPr>
        <sz val="10"/>
        <color theme="1"/>
        <rFont val="Calibri Light"/>
        <family val="2"/>
        <scheme val="major"/>
      </rPr>
      <t xml:space="preserve"> Tributos Federais - PIS (0,65% ) + COFINS (3,0)</t>
    </r>
  </si>
  <si>
    <t>TOTAL GERAL MENSAL</t>
  </si>
  <si>
    <t xml:space="preserve">Total </t>
  </si>
  <si>
    <t xml:space="preserve">Materiais de Consumo </t>
  </si>
  <si>
    <t xml:space="preserve">Equipamentos </t>
  </si>
  <si>
    <t xml:space="preserve">PLANILHA DE CUSTO E FORMAÇÃO DE PREÇOS DE MÃO-DE-OBRA PARA A PRESTAÇÃO DE SERVIÇOS DE MOTORISTA   </t>
  </si>
  <si>
    <t>VALOR MENSAL DOS SERVIÇOS (I)</t>
  </si>
  <si>
    <t>Serviços de Motorista Executivo</t>
  </si>
  <si>
    <t>7823-05</t>
  </si>
  <si>
    <t>Diferença % em relação Estimativa MME</t>
  </si>
  <si>
    <t>(¹)</t>
  </si>
  <si>
    <r>
      <t xml:space="preserve">Contratação de empresa especializada para </t>
    </r>
    <r>
      <rPr>
        <b/>
        <sz val="10"/>
        <color theme="1"/>
        <rFont val="Calibri Light"/>
        <family val="2"/>
        <scheme val="major"/>
      </rPr>
      <t>prestação de serviços de motoristas</t>
    </r>
    <r>
      <rPr>
        <sz val="10"/>
        <color theme="1"/>
        <rFont val="Calibri Light"/>
        <family val="2"/>
        <scheme val="major"/>
      </rPr>
      <t xml:space="preserve">, de forma contínua, com dedicação exclusiva de mão de obra, na categoria de </t>
    </r>
    <r>
      <rPr>
        <b/>
        <sz val="10"/>
        <color theme="1"/>
        <rFont val="Calibri Light"/>
        <family val="2"/>
        <scheme val="major"/>
      </rPr>
      <t>motorista executivo</t>
    </r>
    <r>
      <rPr>
        <sz val="10"/>
        <color theme="1"/>
        <rFont val="Calibri Light"/>
        <family val="2"/>
        <scheme val="major"/>
      </rPr>
      <t>,  para atender as necessidades do Ministério de Minas e Energia (MME), em Brasília/DF, conforme condições, quantidades e exigências estabelecidas no Termo de Referência.</t>
    </r>
  </si>
  <si>
    <t>6º  mês</t>
  </si>
  <si>
    <t>Média de preços pesquisados pela CLC/CGCC/SPOA PE 04/2022-MME</t>
  </si>
  <si>
    <t>Médio</t>
  </si>
  <si>
    <t xml:space="preserve">Cia do Terno - https://www.ciadoterno.com.br/ </t>
  </si>
  <si>
    <t>Motorista Executivo I</t>
  </si>
  <si>
    <t>Motorista Executivo II</t>
  </si>
  <si>
    <t>II</t>
  </si>
  <si>
    <r>
      <rPr>
        <sz val="10"/>
        <color theme="1"/>
        <rFont val="Calibri Light"/>
        <family val="2"/>
        <scheme val="major"/>
      </rPr>
      <t xml:space="preserve">Adicional Noturno  </t>
    </r>
    <r>
      <rPr>
        <sz val="8"/>
        <color theme="1"/>
        <rFont val="Calibri"/>
        <family val="2"/>
        <scheme val="minor"/>
      </rPr>
      <t xml:space="preserve">                                                                                                                                                        </t>
    </r>
    <r>
      <rPr>
        <i/>
        <sz val="7"/>
        <color theme="1"/>
        <rFont val="Calibri"/>
        <family val="2"/>
        <scheme val="minor"/>
      </rPr>
      <t xml:space="preserve"> ((Coeficiente de Conversão Hora Noturna (1,142857) x Qtd.horas (3:00hs = 22:00 às 01:00 hs) x (Valor Hora = (Salário Base)/220 hs) x (alíquota adic not = 20%) x (qtd.dias = 30)) </t>
    </r>
  </si>
  <si>
    <t>PESQUISA EM ÓRGÃOS PÚBLICOS</t>
  </si>
  <si>
    <t>Unit</t>
  </si>
  <si>
    <t>Valor</t>
  </si>
  <si>
    <t xml:space="preserve">PE 02/2023
Superintendência de Administração do Ministério da Fazenda/AC
</t>
  </si>
  <si>
    <t>PE 08/2023
Valec Engenharia Construções e Ferrovias S/A DF</t>
  </si>
  <si>
    <t>PE 03/2023 
Coordenação Regional do Juruá
PE 02/2023
FUNDACAO DE APOIO A PESQUISA_DO GDF</t>
  </si>
  <si>
    <t>FORNECEDORES</t>
  </si>
  <si>
    <t>2023 / CCT - SITTRATER-DF/SEAC-DF</t>
  </si>
  <si>
    <t>Salário Normativo da Categoria Profissional/CCT-2023</t>
  </si>
  <si>
    <t>Data base da categoria (dia/mês/ano) - Vigência  01º de janeiro de 2023 a 31 de dezembro de 2023 e a data-base da categoria em 01º de janeiro</t>
  </si>
  <si>
    <t>TOTAL GERAL DE 30 MESES</t>
  </si>
  <si>
    <t>Total de 30 meses</t>
  </si>
  <si>
    <t>MÉDIA DOS VALORES</t>
  </si>
  <si>
    <r>
      <rPr>
        <b/>
        <sz val="8"/>
        <color rgb="FF000000"/>
        <rFont val="Calibri Light"/>
        <family val="2"/>
        <scheme val="major"/>
      </rPr>
      <t xml:space="preserve">Nota 3: </t>
    </r>
    <r>
      <rPr>
        <sz val="8"/>
        <color rgb="FF000000"/>
        <rFont val="Calibri Light"/>
        <family val="2"/>
        <scheme val="major"/>
      </rPr>
      <t>Levando em consideração a vigência contratual prevista no art. 121, § 3º da Lei nº 14.133, de 01 de abril de 2021, a rubrica férias tem como objetivo principal suprir a necessidade do pagamento das férias remuneradas ao final do contrato de 12 meses. </t>
    </r>
    <r>
      <rPr>
        <b/>
        <sz val="8"/>
        <color rgb="FF000000"/>
        <rFont val="Calibri Light"/>
        <family val="2"/>
        <scheme val="major"/>
      </rPr>
      <t>Esta rubrica, quando da prorrogação contratual, torna-se custo não renovável.</t>
    </r>
  </si>
  <si>
    <r>
      <t>Nota 3:</t>
    </r>
    <r>
      <rPr>
        <sz val="8"/>
        <color rgb="FF000000"/>
        <rFont val="Calibri Light"/>
        <family val="2"/>
        <scheme val="major"/>
      </rPr>
      <t xml:space="preserve"> Levando em consideração a vigência contratual prevista no art. 121, § 3º da Lei nº 14.133, de 01 de abril de 2021, a rubrica férias tem como objetivo principal suprir a necessidade do pagamento das férias remuneradas ao final do contrato de 12 meses. Esta rubrica, quando da prorrogação contratual</t>
    </r>
    <r>
      <rPr>
        <b/>
        <sz val="8"/>
        <color rgb="FF000000"/>
        <rFont val="Calibri Light"/>
        <family val="2"/>
        <scheme val="major"/>
      </rPr>
      <t>, torna-se custo não renovável.</t>
    </r>
  </si>
  <si>
    <t>ADFORT
cnpj:  24.845.574/0001-29</t>
  </si>
  <si>
    <t>Pesquisa de Preços de Mão de Obra de Motorista em Órgãos Públicos</t>
  </si>
  <si>
    <t>PE 08/2023
IBGE</t>
  </si>
  <si>
    <t>IFPI
PE 067/2023 (SRP)</t>
  </si>
  <si>
    <t xml:space="preserve">JDR SERVICES
Cnpj: 22.463.530/0001-09
</t>
  </si>
  <si>
    <t>PE 20/2023
 Superinten. de Administração do Ministério da Fazenda/AC 
ISRAEL SOLUCOES EMPRESARIAIS LTDA
111.821.42/0001-33</t>
  </si>
  <si>
    <t>PE 03/2023
FUNAI 
ALENCARINAS CONSTRUÇÕES E SERVIÇOS
04.750.772/0001-00</t>
  </si>
  <si>
    <t>PE 06/2023
Superintendência de Administração do Ministério da Fazenda/RS
a SAARA OBRAS E SERVIÇOS LTDA
05.228.723/0001-66</t>
  </si>
  <si>
    <t xml:space="preserve">pe 52/2023 Universidade Federal de Itajubá
  G A SERVIÇOS DE APOIO ADMINISTRATIVOS EIRELI
 03.637.812/0001-30
</t>
  </si>
  <si>
    <t xml:space="preserve">PE 45/2023
TRT 15A.REGIAO
GLOBALTECH 
05.069.154/0001-53
</t>
  </si>
  <si>
    <t>Os preços pesquisados são frutos de licitações ocorridas, ainda sem repactuações, diferentemente da estimativa de custo do MME, que vai passar por um processo licitatório, cujo valor tende a diminuir.</t>
  </si>
  <si>
    <t xml:space="preserve">Esta pesquisa foi baseada através de levantamento de mercado, pesquisa em órgãos públicos (banco de preços e painel de preços), sendo assim, preços reais e praticados na administração pública. Nesta situação os salários obedecem a CCT/2023 na base Distrito Federal, a CCT/2024 não foi disponibilizada até a presente data. </t>
  </si>
  <si>
    <r>
      <rPr>
        <b/>
        <sz val="10"/>
        <color theme="1"/>
        <rFont val="Calibri Light"/>
        <family val="2"/>
        <scheme val="major"/>
      </rPr>
      <t>Auxílio Alimentação</t>
    </r>
    <r>
      <rPr>
        <sz val="10"/>
        <color theme="1"/>
        <rFont val="Calibri Light"/>
        <family val="2"/>
        <scheme val="major"/>
      </rPr>
      <t xml:space="preserve"> (Valor de R$44,43 x 21 dias efetivamente trabalhados) - </t>
    </r>
    <r>
      <rPr>
        <sz val="8"/>
        <color theme="1"/>
        <rFont val="Calibri Light"/>
        <family val="2"/>
        <scheme val="major"/>
      </rPr>
      <t>CLÁUSULA DÉCIMA - AUXÍLIO ALIMENTAÇÃO</t>
    </r>
  </si>
  <si>
    <r>
      <rPr>
        <b/>
        <sz val="10"/>
        <color theme="1"/>
        <rFont val="Calibri Light"/>
        <family val="2"/>
        <scheme val="major"/>
      </rPr>
      <t>Auxílio Transporte</t>
    </r>
    <r>
      <rPr>
        <sz val="10"/>
        <color theme="1"/>
        <rFont val="Calibri Light"/>
        <family val="2"/>
        <scheme val="major"/>
      </rPr>
      <t xml:space="preserve"> ((R$ 5,50)x2x21 dias) - 6% Salário Base  - Itinerário: Cidade Satélite/Estação Rodoviária P.P/Esplanada - Vice-versa - </t>
    </r>
    <r>
      <rPr>
        <sz val="8"/>
        <color theme="1"/>
        <rFont val="Calibri Light"/>
        <family val="2"/>
        <scheme val="major"/>
      </rPr>
      <t>CLÁUSULA DÉCIMA - VALE-TRANSPORTE</t>
    </r>
  </si>
  <si>
    <r>
      <t xml:space="preserve">Assistência Odontológica </t>
    </r>
    <r>
      <rPr>
        <sz val="8"/>
        <color theme="1"/>
        <rFont val="Calibri Light"/>
        <family val="2"/>
        <scheme val="major"/>
      </rPr>
      <t>- CLÁUSULA DÉCIMA SEGUNDA</t>
    </r>
  </si>
  <si>
    <r>
      <t xml:space="preserve">Auxílio Saúde - </t>
    </r>
    <r>
      <rPr>
        <sz val="8"/>
        <color theme="1"/>
        <rFont val="Calibri Light"/>
        <family val="2"/>
        <scheme val="major"/>
      </rPr>
      <t>CLÁUSULA DÉCIMA TERCEIRA - PLANO DE SAÚDE</t>
    </r>
  </si>
  <si>
    <t>Multa do FGTS sobre o Aviso Prévio Trabalhado</t>
  </si>
  <si>
    <r>
      <rPr>
        <b/>
        <sz val="10"/>
        <color theme="1"/>
        <rFont val="Calibri Light"/>
        <family val="2"/>
        <scheme val="major"/>
      </rPr>
      <t xml:space="preserve">Aviso Prévio Indenizado
</t>
    </r>
    <r>
      <rPr>
        <i/>
        <sz val="10"/>
        <color theme="1"/>
        <rFont val="Calibri Light"/>
        <family val="2"/>
        <scheme val="major"/>
      </rPr>
      <t>(Estatistica: 5,5% dos empregados serão substituídos durante um ano)  - [(5,5%)/12] = 0,46%   art. 487 CLT - Sumula 305/TST, Ac.2.271/2010-TCU,  Lei nº 12506/2011.
1 salário integral x (1 mês não trabalhado / 12 meses) x 5,5% estatística = 0,46%</t>
    </r>
  </si>
  <si>
    <r>
      <rPr>
        <b/>
        <sz val="10"/>
        <color theme="1"/>
        <rFont val="Calibri Light"/>
        <family val="2"/>
        <scheme val="major"/>
      </rPr>
      <t xml:space="preserve">Incidência do FGTS sobre o Aviso Prévio Indenizado </t>
    </r>
    <r>
      <rPr>
        <i/>
        <sz val="10"/>
        <color theme="1"/>
        <rFont val="Calibri Light"/>
        <family val="2"/>
        <scheme val="major"/>
      </rPr>
      <t>(8% x 0,46%)</t>
    </r>
  </si>
  <si>
    <r>
      <rPr>
        <b/>
        <sz val="10"/>
        <color theme="1"/>
        <rFont val="Calibri Light"/>
        <family val="2"/>
        <scheme val="major"/>
      </rPr>
      <t xml:space="preserve">Multa do FGTS sobre o Aviso Prévio Indenizado 
</t>
    </r>
    <r>
      <rPr>
        <sz val="10"/>
        <color theme="1"/>
        <rFont val="Calibri Light"/>
        <family val="2"/>
        <scheme val="major"/>
      </rPr>
      <t>(</t>
    </r>
    <r>
      <rPr>
        <i/>
        <sz val="10"/>
        <color theme="1"/>
        <rFont val="Calibri Light"/>
        <family val="2"/>
        <scheme val="major"/>
      </rPr>
      <t>multa de 40% sobre FGTS ) x Aviso Prévio Indenizado (0,46%) =  (0,46%)*0,40  =  0,183%  (Art. 18, § 1º da Lei nº 8.036/90,Art. 1º da Lei Complementar nº 110/2001)</t>
    </r>
  </si>
  <si>
    <r>
      <rPr>
        <b/>
        <sz val="10"/>
        <color theme="1"/>
        <rFont val="Calibri Light"/>
        <family val="2"/>
        <scheme val="major"/>
      </rPr>
      <t>Aviso Prévio Trabalhado</t>
    </r>
    <r>
      <rPr>
        <sz val="10"/>
        <color theme="1"/>
        <rFont val="Calibri Light"/>
        <family val="2"/>
        <scheme val="major"/>
      </rPr>
      <t xml:space="preserve">                                                                                                                             </t>
    </r>
    <r>
      <rPr>
        <i/>
        <sz val="10"/>
        <color theme="1"/>
        <rFont val="Calibri Light"/>
        <family val="2"/>
        <scheme val="major"/>
      </rPr>
      <t xml:space="preserve"> (redução de 7 dias/mes ou de 2 horas/dia, percentual relativo a contrato de 12 meses)   =   [(7/30)/12]*100=1,944%  (Ac.3006/2010-TCU; art.7º, XXI ,CF/88, 477, 487 e 491 CLT)</t>
    </r>
  </si>
  <si>
    <r>
      <rPr>
        <b/>
        <sz val="10"/>
        <color theme="1"/>
        <rFont val="Calibri Light"/>
        <family val="2"/>
        <scheme val="major"/>
      </rPr>
      <t>Incidência dos encargos do Submódulo 2.2 sobre o Aviso Prévio Trabalhado  -</t>
    </r>
    <r>
      <rPr>
        <sz val="10"/>
        <color theme="1"/>
        <rFont val="Calibri Light"/>
        <family val="2"/>
        <scheme val="major"/>
      </rPr>
      <t xml:space="preserve">  </t>
    </r>
    <r>
      <rPr>
        <i/>
        <sz val="10"/>
        <color theme="1"/>
        <rFont val="Calibri Light"/>
        <family val="2"/>
        <scheme val="major"/>
      </rPr>
      <t xml:space="preserve"> </t>
    </r>
    <r>
      <rPr>
        <b/>
        <i/>
        <sz val="10"/>
        <color rgb="FFFF0000"/>
        <rFont val="Calibri Light"/>
        <family val="2"/>
        <scheme val="major"/>
      </rPr>
      <t xml:space="preserve">(36,80% x 1,944%) </t>
    </r>
  </si>
  <si>
    <t>Qdade Total Geral Anual  (x8)</t>
  </si>
  <si>
    <t xml:space="preserve">Última contratação MME
PE 12/2022
1º termo aditivo (para 6 motoristas)
</t>
  </si>
  <si>
    <t>Terno, na cor preta, com 55% poliéster e 45% de lã leve fina, em tecido tipo microfibra, forrado internamente, inclusive na manga, de boa qualidade, sendo permitido a variação da composição em ± 30%.</t>
  </si>
  <si>
    <t>Gravata, em tecido 100% poliéster ou 100% seda, na cor preta, de boa qualidade, sendo permitido a variação da composição em ± 30%.</t>
  </si>
  <si>
    <t>Camisa, manga longa,, em estilo social em tecido, gola com entretela, 65% poliéster e 35% algodão, cor azul clara ou branca, de boa qualidade, sendo permitido a variação da composição em ± 30%.</t>
  </si>
  <si>
    <t>Par de meias, de tecido 60% algodão, 39% poliamida e 1% elástano, cor preta, de boa qualidade, , sendo permitido a variação da composição em ± 30%.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</si>
</sst>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&quot;R$&quot;\ #,##0.00"/>
    <numFmt numFmtId="165" formatCode="0.000%"/>
    <numFmt numFmtId="166" formatCode="#,##0.00_ ;\-#,##0.00\ "/>
    <numFmt numFmtId="167" formatCode="&quot;R$&quot;#,##0.00"/>
  </numFmts>
  <fonts count="5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name val="Arial"/>
      <family val="2"/>
    </font>
    <font>
      <sz val="12"/>
      <color theme="1"/>
      <name val="Calibri"/>
      <family val="2"/>
      <scheme val="minor"/>
    </font>
    <font>
      <sz val="10"/>
      <color theme="1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0"/>
      <color theme="1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9"/>
      <color theme="1"/>
      <name val="Calibri Light"/>
      <family val="2"/>
      <scheme val="major"/>
    </font>
    <font>
      <b/>
      <strike/>
      <sz val="9"/>
      <color theme="1"/>
      <name val="Calibri Light"/>
      <family val="2"/>
      <scheme val="major"/>
    </font>
    <font>
      <sz val="12"/>
      <color theme="1"/>
      <name val="Calibri Light"/>
      <family val="2"/>
      <scheme val="major"/>
    </font>
    <font>
      <b/>
      <sz val="8"/>
      <color theme="1"/>
      <name val="Calibri Light"/>
      <family val="2"/>
      <scheme val="major"/>
    </font>
    <font>
      <strike/>
      <sz val="10"/>
      <color theme="1"/>
      <name val="Calibri Light"/>
      <family val="2"/>
      <scheme val="major"/>
    </font>
    <font>
      <sz val="8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sz val="9"/>
      <color theme="1"/>
      <name val="Calibri Light"/>
      <family val="2"/>
      <scheme val="major"/>
    </font>
    <font>
      <sz val="10"/>
      <name val="Calibri Light"/>
      <family val="2"/>
      <scheme val="major"/>
    </font>
    <font>
      <sz val="8"/>
      <color rgb="FF000000"/>
      <name val="Calibri Light"/>
      <family val="2"/>
      <scheme val="major"/>
    </font>
    <font>
      <b/>
      <sz val="8"/>
      <color rgb="FF000000"/>
      <name val="Calibri Light"/>
      <family val="2"/>
      <scheme val="major"/>
    </font>
    <font>
      <b/>
      <sz val="8"/>
      <name val="Calibri Light"/>
      <family val="2"/>
      <scheme val="major"/>
    </font>
    <font>
      <b/>
      <sz val="10"/>
      <name val="Calibri Light"/>
      <family val="2"/>
      <scheme val="maj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FF0000"/>
      <name val="Calibri Light"/>
      <family val="2"/>
      <scheme val="major"/>
    </font>
    <font>
      <b/>
      <sz val="10"/>
      <color rgb="FFFF0000"/>
      <name val="Calibri Light"/>
      <family val="2"/>
      <scheme val="major"/>
    </font>
    <font>
      <b/>
      <sz val="8"/>
      <name val="Calibri"/>
      <family val="2"/>
      <scheme val="minor"/>
    </font>
    <font>
      <sz val="9"/>
      <name val="Calibri"/>
      <family val="2"/>
      <scheme val="minor"/>
    </font>
    <font>
      <b/>
      <sz val="9"/>
      <color rgb="FF000000"/>
      <name val="Calibri"/>
      <family val="2"/>
    </font>
    <font>
      <b/>
      <sz val="9"/>
      <name val="Calibri"/>
      <family val="2"/>
    </font>
    <font>
      <b/>
      <sz val="8"/>
      <name val="Calibri"/>
      <family val="2"/>
    </font>
    <font>
      <sz val="9"/>
      <name val="Calibri"/>
      <family val="2"/>
    </font>
    <font>
      <b/>
      <sz val="10"/>
      <color rgb="FFFF000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i/>
      <sz val="7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8"/>
      <color indexed="8"/>
      <name val="Calibri"/>
      <family val="2"/>
      <scheme val="minor"/>
    </font>
    <font>
      <sz val="11"/>
      <color rgb="FFFF0000"/>
      <name val="Calibri"/>
      <family val="2"/>
      <scheme val="minor"/>
    </font>
    <font>
      <sz val="9"/>
      <color rgb="FFFF0000"/>
      <name val="Calibri"/>
      <family val="2"/>
    </font>
    <font>
      <i/>
      <sz val="10"/>
      <color theme="1"/>
      <name val="Calibri Light"/>
      <family val="2"/>
      <scheme val="major"/>
    </font>
    <font>
      <b/>
      <i/>
      <sz val="10"/>
      <color rgb="FFFF0000"/>
      <name val="Calibri Light"/>
      <family val="2"/>
      <scheme val="major"/>
    </font>
  </fonts>
  <fills count="1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99DFE9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4" fillId="0" borderId="0"/>
    <xf numFmtId="0" fontId="43" fillId="0" borderId="0" applyNumberFormat="0" applyFill="0" applyBorder="0" applyAlignment="0" applyProtection="0"/>
  </cellStyleXfs>
  <cellXfs count="356">
    <xf numFmtId="0" fontId="0" fillId="0" borderId="0" xfId="0"/>
    <xf numFmtId="0" fontId="5" fillId="0" borderId="0" xfId="0" applyFont="1"/>
    <xf numFmtId="0" fontId="7" fillId="0" borderId="0" xfId="0" applyFont="1"/>
    <xf numFmtId="0" fontId="10" fillId="2" borderId="2" xfId="2" applyFont="1" applyFill="1" applyBorder="1" applyAlignment="1">
      <alignment horizontal="center" vertical="center" wrapText="1"/>
    </xf>
    <xf numFmtId="0" fontId="6" fillId="2" borderId="0" xfId="2" applyFont="1" applyFill="1" applyAlignment="1">
      <alignment wrapText="1"/>
    </xf>
    <xf numFmtId="0" fontId="6" fillId="2" borderId="1" xfId="2" applyFont="1" applyFill="1" applyBorder="1" applyAlignment="1">
      <alignment wrapText="1"/>
    </xf>
    <xf numFmtId="0" fontId="6" fillId="2" borderId="2" xfId="2" applyFont="1" applyFill="1" applyBorder="1" applyAlignment="1">
      <alignment wrapText="1"/>
    </xf>
    <xf numFmtId="0" fontId="6" fillId="2" borderId="3" xfId="2" applyFont="1" applyFill="1" applyBorder="1" applyAlignment="1">
      <alignment wrapText="1"/>
    </xf>
    <xf numFmtId="0" fontId="6" fillId="0" borderId="1" xfId="2" applyFont="1" applyBorder="1" applyAlignment="1">
      <alignment vertical="center" wrapText="1"/>
    </xf>
    <xf numFmtId="0" fontId="6" fillId="3" borderId="2" xfId="2" applyFont="1" applyFill="1" applyBorder="1" applyAlignment="1">
      <alignment vertical="center" wrapText="1"/>
    </xf>
    <xf numFmtId="0" fontId="6" fillId="3" borderId="4" xfId="2" applyFont="1" applyFill="1" applyBorder="1" applyAlignment="1">
      <alignment vertical="center" wrapText="1"/>
    </xf>
    <xf numFmtId="9" fontId="6" fillId="3" borderId="4" xfId="2" applyNumberFormat="1" applyFont="1" applyFill="1" applyBorder="1" applyAlignment="1">
      <alignment horizontal="center" vertical="center" wrapText="1"/>
    </xf>
    <xf numFmtId="4" fontId="8" fillId="3" borderId="4" xfId="2" applyNumberFormat="1" applyFont="1" applyFill="1" applyBorder="1" applyAlignment="1">
      <alignment horizontal="center" vertical="center" wrapText="1"/>
    </xf>
    <xf numFmtId="9" fontId="18" fillId="2" borderId="4" xfId="2" applyNumberFormat="1" applyFont="1" applyFill="1" applyBorder="1" applyAlignment="1">
      <alignment horizontal="center" vertical="center" wrapText="1"/>
    </xf>
    <xf numFmtId="4" fontId="18" fillId="2" borderId="4" xfId="2" applyNumberFormat="1" applyFont="1" applyFill="1" applyBorder="1" applyAlignment="1">
      <alignment horizontal="center" vertical="center" wrapText="1"/>
    </xf>
    <xf numFmtId="9" fontId="6" fillId="2" borderId="4" xfId="2" applyNumberFormat="1" applyFont="1" applyFill="1" applyBorder="1" applyAlignment="1">
      <alignment horizontal="center" vertical="center" wrapText="1"/>
    </xf>
    <xf numFmtId="4" fontId="6" fillId="2" borderId="4" xfId="2" applyNumberFormat="1" applyFont="1" applyFill="1" applyBorder="1" applyAlignment="1">
      <alignment horizontal="center" vertical="center" wrapText="1"/>
    </xf>
    <xf numFmtId="0" fontId="6" fillId="0" borderId="4" xfId="2" applyFont="1" applyBorder="1" applyAlignment="1">
      <alignment horizontal="center" vertical="center" wrapText="1"/>
    </xf>
    <xf numFmtId="9" fontId="8" fillId="3" borderId="4" xfId="2" applyNumberFormat="1" applyFont="1" applyFill="1" applyBorder="1" applyAlignment="1">
      <alignment horizontal="center" vertical="center" wrapText="1"/>
    </xf>
    <xf numFmtId="0" fontId="8" fillId="3" borderId="4" xfId="2" applyFont="1" applyFill="1" applyBorder="1" applyAlignment="1">
      <alignment vertical="center" wrapText="1"/>
    </xf>
    <xf numFmtId="10" fontId="6" fillId="2" borderId="4" xfId="2" applyNumberFormat="1" applyFont="1" applyFill="1" applyBorder="1" applyAlignment="1">
      <alignment horizontal="center" vertical="center" wrapText="1"/>
    </xf>
    <xf numFmtId="10" fontId="8" fillId="3" borderId="4" xfId="2" applyNumberFormat="1" applyFont="1" applyFill="1" applyBorder="1" applyAlignment="1">
      <alignment horizontal="center" vertical="center" wrapText="1"/>
    </xf>
    <xf numFmtId="10" fontId="6" fillId="2" borderId="2" xfId="2" applyNumberFormat="1" applyFont="1" applyFill="1" applyBorder="1" applyAlignment="1">
      <alignment horizontal="center" vertical="center" wrapText="1"/>
    </xf>
    <xf numFmtId="4" fontId="6" fillId="2" borderId="4" xfId="2" applyNumberFormat="1" applyFont="1" applyFill="1" applyBorder="1" applyAlignment="1">
      <alignment horizontal="center" wrapText="1"/>
    </xf>
    <xf numFmtId="4" fontId="8" fillId="3" borderId="4" xfId="2" applyNumberFormat="1" applyFont="1" applyFill="1" applyBorder="1" applyAlignment="1">
      <alignment horizontal="center" wrapText="1"/>
    </xf>
    <xf numFmtId="10" fontId="8" fillId="2" borderId="2" xfId="2" applyNumberFormat="1" applyFont="1" applyFill="1" applyBorder="1" applyAlignment="1">
      <alignment horizontal="center" vertical="center" wrapText="1"/>
    </xf>
    <xf numFmtId="0" fontId="8" fillId="3" borderId="3" xfId="2" applyFont="1" applyFill="1" applyBorder="1" applyAlignment="1">
      <alignment vertical="center" wrapText="1"/>
    </xf>
    <xf numFmtId="0" fontId="16" fillId="0" borderId="4" xfId="2" applyFont="1" applyBorder="1" applyAlignment="1">
      <alignment wrapText="1"/>
    </xf>
    <xf numFmtId="0" fontId="6" fillId="0" borderId="4" xfId="2" applyFont="1" applyBorder="1" applyAlignment="1">
      <alignment vertical="center" wrapText="1"/>
    </xf>
    <xf numFmtId="165" fontId="6" fillId="2" borderId="4" xfId="2" applyNumberFormat="1" applyFont="1" applyFill="1" applyBorder="1" applyAlignment="1">
      <alignment horizontal="center" vertical="center" wrapText="1"/>
    </xf>
    <xf numFmtId="4" fontId="6" fillId="4" borderId="4" xfId="2" applyNumberFormat="1" applyFont="1" applyFill="1" applyBorder="1" applyAlignment="1">
      <alignment horizontal="center" vertical="center" wrapText="1"/>
    </xf>
    <xf numFmtId="0" fontId="16" fillId="0" borderId="1" xfId="2" applyFont="1" applyBorder="1" applyAlignment="1">
      <alignment vertical="center" wrapText="1"/>
    </xf>
    <xf numFmtId="10" fontId="8" fillId="3" borderId="4" xfId="2" applyNumberFormat="1" applyFont="1" applyFill="1" applyBorder="1" applyAlignment="1">
      <alignment horizontal="center" wrapText="1"/>
    </xf>
    <xf numFmtId="0" fontId="8" fillId="2" borderId="1" xfId="2" applyFont="1" applyFill="1" applyBorder="1" applyAlignment="1">
      <alignment vertical="center" wrapText="1"/>
    </xf>
    <xf numFmtId="0" fontId="8" fillId="2" borderId="2" xfId="2" applyFont="1" applyFill="1" applyBorder="1" applyAlignment="1">
      <alignment vertical="center" wrapText="1"/>
    </xf>
    <xf numFmtId="0" fontId="8" fillId="2" borderId="3" xfId="2" applyFont="1" applyFill="1" applyBorder="1" applyAlignment="1">
      <alignment vertical="center" wrapText="1"/>
    </xf>
    <xf numFmtId="165" fontId="6" fillId="2" borderId="1" xfId="2" applyNumberFormat="1" applyFont="1" applyFill="1" applyBorder="1" applyAlignment="1">
      <alignment horizontal="center" vertical="center" wrapText="1"/>
    </xf>
    <xf numFmtId="165" fontId="6" fillId="2" borderId="4" xfId="1" applyNumberFormat="1" applyFont="1" applyFill="1" applyBorder="1" applyAlignment="1">
      <alignment horizontal="center" vertical="center" wrapText="1"/>
    </xf>
    <xf numFmtId="10" fontId="6" fillId="3" borderId="4" xfId="2" applyNumberFormat="1" applyFont="1" applyFill="1" applyBorder="1" applyAlignment="1">
      <alignment horizontal="center" vertical="center" wrapText="1"/>
    </xf>
    <xf numFmtId="0" fontId="6" fillId="2" borderId="4" xfId="2" applyFont="1" applyFill="1" applyBorder="1" applyAlignment="1">
      <alignment wrapText="1"/>
    </xf>
    <xf numFmtId="0" fontId="6" fillId="3" borderId="4" xfId="2" applyFont="1" applyFill="1" applyBorder="1" applyAlignment="1">
      <alignment wrapText="1"/>
    </xf>
    <xf numFmtId="4" fontId="6" fillId="3" borderId="4" xfId="2" applyNumberFormat="1" applyFont="1" applyFill="1" applyBorder="1" applyAlignment="1">
      <alignment horizontal="center" vertical="center" wrapText="1"/>
    </xf>
    <xf numFmtId="10" fontId="8" fillId="2" borderId="4" xfId="2" applyNumberFormat="1" applyFont="1" applyFill="1" applyBorder="1" applyAlignment="1">
      <alignment horizontal="center" vertical="center" wrapText="1"/>
    </xf>
    <xf numFmtId="4" fontId="8" fillId="2" borderId="4" xfId="2" applyNumberFormat="1" applyFont="1" applyFill="1" applyBorder="1" applyAlignment="1">
      <alignment horizontal="right" wrapText="1"/>
    </xf>
    <xf numFmtId="0" fontId="8" fillId="0" borderId="4" xfId="2" applyFont="1" applyBorder="1" applyAlignment="1">
      <alignment vertical="center" wrapText="1"/>
    </xf>
    <xf numFmtId="4" fontId="8" fillId="2" borderId="3" xfId="2" applyNumberFormat="1" applyFont="1" applyFill="1" applyBorder="1" applyAlignment="1">
      <alignment horizontal="center" vertical="center" wrapText="1"/>
    </xf>
    <xf numFmtId="4" fontId="22" fillId="2" borderId="4" xfId="2" applyNumberFormat="1" applyFont="1" applyFill="1" applyBorder="1" applyAlignment="1">
      <alignment horizontal="center" vertical="center" wrapText="1"/>
    </xf>
    <xf numFmtId="4" fontId="8" fillId="2" borderId="4" xfId="2" applyNumberFormat="1" applyFont="1" applyFill="1" applyBorder="1" applyAlignment="1">
      <alignment horizontal="center" vertical="center" wrapText="1"/>
    </xf>
    <xf numFmtId="0" fontId="7" fillId="2" borderId="0" xfId="2" applyFont="1" applyFill="1" applyAlignment="1">
      <alignment wrapText="1"/>
    </xf>
    <xf numFmtId="4" fontId="8" fillId="2" borderId="3" xfId="2" applyNumberFormat="1" applyFont="1" applyFill="1" applyBorder="1" applyAlignment="1">
      <alignment horizontal="right" wrapText="1"/>
    </xf>
    <xf numFmtId="4" fontId="8" fillId="2" borderId="4" xfId="2" applyNumberFormat="1" applyFont="1" applyFill="1" applyBorder="1" applyAlignment="1">
      <alignment horizontal="center" wrapText="1"/>
    </xf>
    <xf numFmtId="4" fontId="8" fillId="3" borderId="11" xfId="2" applyNumberFormat="1" applyFont="1" applyFill="1" applyBorder="1" applyAlignment="1">
      <alignment horizontal="center" vertical="center" wrapText="1"/>
    </xf>
    <xf numFmtId="0" fontId="6" fillId="2" borderId="4" xfId="2" applyFont="1" applyFill="1" applyBorder="1" applyAlignment="1">
      <alignment horizontal="center" vertical="center" wrapText="1"/>
    </xf>
    <xf numFmtId="166" fontId="8" fillId="2" borderId="4" xfId="2" applyNumberFormat="1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167" fontId="0" fillId="0" borderId="0" xfId="0" applyNumberFormat="1"/>
    <xf numFmtId="0" fontId="8" fillId="0" borderId="1" xfId="2" applyFont="1" applyBorder="1" applyAlignment="1">
      <alignment vertical="center" wrapText="1"/>
    </xf>
    <xf numFmtId="0" fontId="10" fillId="2" borderId="1" xfId="2" applyFont="1" applyFill="1" applyBorder="1" applyAlignment="1">
      <alignment horizontal="center" vertical="center" wrapText="1"/>
    </xf>
    <xf numFmtId="0" fontId="10" fillId="2" borderId="3" xfId="2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left" vertical="center" wrapText="1"/>
    </xf>
    <xf numFmtId="0" fontId="6" fillId="2" borderId="2" xfId="2" applyFont="1" applyFill="1" applyBorder="1" applyAlignment="1">
      <alignment horizontal="left" vertical="center" wrapText="1"/>
    </xf>
    <xf numFmtId="0" fontId="6" fillId="2" borderId="3" xfId="2" applyFont="1" applyFill="1" applyBorder="1" applyAlignment="1">
      <alignment horizontal="left" vertical="center" wrapText="1"/>
    </xf>
    <xf numFmtId="0" fontId="8" fillId="2" borderId="1" xfId="2" applyFont="1" applyFill="1" applyBorder="1" applyAlignment="1">
      <alignment horizontal="center" vertical="center" wrapText="1"/>
    </xf>
    <xf numFmtId="0" fontId="8" fillId="2" borderId="3" xfId="2" applyFont="1" applyFill="1" applyBorder="1" applyAlignment="1">
      <alignment horizontal="center" vertical="center" wrapText="1"/>
    </xf>
    <xf numFmtId="0" fontId="8" fillId="0" borderId="4" xfId="2" applyFont="1" applyBorder="1" applyAlignment="1">
      <alignment horizontal="center" vertical="center" wrapText="1"/>
    </xf>
    <xf numFmtId="0" fontId="8" fillId="2" borderId="2" xfId="2" applyFont="1" applyFill="1" applyBorder="1" applyAlignment="1">
      <alignment horizontal="center" vertical="center" wrapText="1"/>
    </xf>
    <xf numFmtId="0" fontId="8" fillId="2" borderId="2" xfId="2" applyFont="1" applyFill="1" applyBorder="1" applyAlignment="1">
      <alignment horizontal="left" vertical="center" wrapText="1"/>
    </xf>
    <xf numFmtId="0" fontId="8" fillId="2" borderId="4" xfId="2" applyFont="1" applyFill="1" applyBorder="1" applyAlignment="1">
      <alignment horizontal="center" vertical="center" wrapText="1"/>
    </xf>
    <xf numFmtId="10" fontId="10" fillId="2" borderId="4" xfId="2" applyNumberFormat="1" applyFont="1" applyFill="1" applyBorder="1" applyAlignment="1">
      <alignment horizontal="center" vertical="center" wrapText="1"/>
    </xf>
    <xf numFmtId="0" fontId="27" fillId="0" borderId="4" xfId="4" applyFont="1" applyBorder="1" applyAlignment="1">
      <alignment horizontal="center" vertical="center" wrapText="1"/>
    </xf>
    <xf numFmtId="164" fontId="27" fillId="0" borderId="4" xfId="4" applyNumberFormat="1" applyFont="1" applyBorder="1" applyAlignment="1">
      <alignment vertical="center" wrapText="1"/>
    </xf>
    <xf numFmtId="164" fontId="26" fillId="0" borderId="4" xfId="4" applyNumberFormat="1" applyFont="1" applyBorder="1" applyAlignment="1">
      <alignment vertical="center" wrapText="1"/>
    </xf>
    <xf numFmtId="0" fontId="27" fillId="0" borderId="4" xfId="4" applyFont="1" applyBorder="1" applyAlignment="1">
      <alignment vertical="center" wrapText="1"/>
    </xf>
    <xf numFmtId="0" fontId="26" fillId="10" borderId="4" xfId="4" applyFont="1" applyFill="1" applyBorder="1" applyAlignment="1">
      <alignment horizontal="center" vertical="center" wrapText="1"/>
    </xf>
    <xf numFmtId="0" fontId="28" fillId="0" borderId="4" xfId="0" applyFont="1" applyBorder="1" applyAlignment="1">
      <alignment horizontal="center" vertical="center"/>
    </xf>
    <xf numFmtId="0" fontId="24" fillId="0" borderId="0" xfId="0" applyFont="1" applyAlignment="1">
      <alignment vertical="center"/>
    </xf>
    <xf numFmtId="0" fontId="31" fillId="8" borderId="0" xfId="0" applyFont="1" applyFill="1" applyAlignment="1">
      <alignment horizontal="center" vertical="center" wrapText="1"/>
    </xf>
    <xf numFmtId="0" fontId="30" fillId="8" borderId="4" xfId="0" applyFont="1" applyFill="1" applyBorder="1" applyAlignment="1">
      <alignment horizontal="center" vertical="center" wrapText="1"/>
    </xf>
    <xf numFmtId="0" fontId="30" fillId="11" borderId="4" xfId="0" applyFont="1" applyFill="1" applyBorder="1" applyAlignment="1">
      <alignment horizontal="center" vertical="center" wrapText="1"/>
    </xf>
    <xf numFmtId="0" fontId="31" fillId="6" borderId="0" xfId="0" applyFont="1" applyFill="1" applyAlignment="1">
      <alignment horizontal="center" vertical="center" wrapText="1"/>
    </xf>
    <xf numFmtId="0" fontId="30" fillId="6" borderId="4" xfId="0" applyFont="1" applyFill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4" fontId="0" fillId="0" borderId="13" xfId="0" applyNumberFormat="1" applyBorder="1" applyAlignment="1">
      <alignment horizontal="center" vertical="center" wrapText="1"/>
    </xf>
    <xf numFmtId="0" fontId="0" fillId="0" borderId="13" xfId="0" applyBorder="1" applyAlignment="1">
      <alignment horizontal="left" vertical="center" wrapText="1"/>
    </xf>
    <xf numFmtId="0" fontId="8" fillId="5" borderId="4" xfId="2" applyFont="1" applyFill="1" applyBorder="1" applyAlignment="1">
      <alignment horizontal="center" vertical="center" wrapText="1"/>
    </xf>
    <xf numFmtId="10" fontId="6" fillId="5" borderId="2" xfId="2" applyNumberFormat="1" applyFont="1" applyFill="1" applyBorder="1" applyAlignment="1">
      <alignment horizontal="center" vertical="center" wrapText="1"/>
    </xf>
    <xf numFmtId="4" fontId="6" fillId="5" borderId="4" xfId="2" applyNumberFormat="1" applyFont="1" applyFill="1" applyBorder="1" applyAlignment="1">
      <alignment horizontal="center" wrapText="1"/>
    </xf>
    <xf numFmtId="4" fontId="8" fillId="14" borderId="4" xfId="2" applyNumberFormat="1" applyFont="1" applyFill="1" applyBorder="1" applyAlignment="1">
      <alignment horizontal="center" vertical="center" wrapText="1"/>
    </xf>
    <xf numFmtId="166" fontId="34" fillId="5" borderId="4" xfId="2" applyNumberFormat="1" applyFont="1" applyFill="1" applyBorder="1" applyAlignment="1">
      <alignment horizontal="center" vertical="center" wrapText="1"/>
    </xf>
    <xf numFmtId="4" fontId="33" fillId="4" borderId="4" xfId="2" applyNumberFormat="1" applyFont="1" applyFill="1" applyBorder="1" applyAlignment="1">
      <alignment horizontal="center" vertical="center" wrapText="1"/>
    </xf>
    <xf numFmtId="4" fontId="27" fillId="0" borderId="4" xfId="4" applyNumberFormat="1" applyFont="1" applyBorder="1" applyAlignment="1">
      <alignment horizontal="center" vertical="center" wrapText="1"/>
    </xf>
    <xf numFmtId="0" fontId="36" fillId="0" borderId="0" xfId="4" applyFont="1" applyAlignment="1">
      <alignment horizontal="center" vertical="center"/>
    </xf>
    <xf numFmtId="0" fontId="36" fillId="0" borderId="0" xfId="4" applyFont="1"/>
    <xf numFmtId="0" fontId="38" fillId="0" borderId="4" xfId="0" applyFont="1" applyBorder="1" applyAlignment="1">
      <alignment horizontal="center" vertical="center" wrapText="1"/>
    </xf>
    <xf numFmtId="0" fontId="40" fillId="0" borderId="4" xfId="0" applyFont="1" applyBorder="1" applyAlignment="1">
      <alignment vertical="center" wrapText="1"/>
    </xf>
    <xf numFmtId="0" fontId="40" fillId="0" borderId="4" xfId="0" applyFont="1" applyBorder="1" applyAlignment="1">
      <alignment horizontal="center" vertical="center" wrapText="1"/>
    </xf>
    <xf numFmtId="0" fontId="37" fillId="15" borderId="4" xfId="0" applyFont="1" applyFill="1" applyBorder="1" applyAlignment="1">
      <alignment horizontal="center" vertical="center" wrapText="1"/>
    </xf>
    <xf numFmtId="0" fontId="38" fillId="15" borderId="4" xfId="0" applyFont="1" applyFill="1" applyBorder="1" applyAlignment="1">
      <alignment horizontal="center" vertical="center"/>
    </xf>
    <xf numFmtId="0" fontId="32" fillId="0" borderId="4" xfId="0" applyFont="1" applyBorder="1" applyAlignment="1">
      <alignment horizontal="center" vertical="center"/>
    </xf>
    <xf numFmtId="43" fontId="30" fillId="13" borderId="4" xfId="1" applyFont="1" applyFill="1" applyBorder="1" applyAlignment="1">
      <alignment horizontal="center" vertical="center" wrapText="1"/>
    </xf>
    <xf numFmtId="4" fontId="26" fillId="8" borderId="4" xfId="0" applyNumberFormat="1" applyFont="1" applyFill="1" applyBorder="1" applyAlignment="1">
      <alignment horizontal="center" vertical="center" wrapText="1"/>
    </xf>
    <xf numFmtId="10" fontId="41" fillId="8" borderId="4" xfId="3" applyNumberFormat="1" applyFont="1" applyFill="1" applyBorder="1" applyAlignment="1">
      <alignment horizontal="center" vertical="center" wrapText="1"/>
    </xf>
    <xf numFmtId="4" fontId="26" fillId="11" borderId="4" xfId="0" applyNumberFormat="1" applyFont="1" applyFill="1" applyBorder="1" applyAlignment="1">
      <alignment horizontal="center" vertical="center" wrapText="1"/>
    </xf>
    <xf numFmtId="10" fontId="41" fillId="11" borderId="4" xfId="3" applyNumberFormat="1" applyFont="1" applyFill="1" applyBorder="1" applyAlignment="1">
      <alignment horizontal="center" vertical="center" wrapText="1"/>
    </xf>
    <xf numFmtId="4" fontId="26" fillId="6" borderId="4" xfId="0" applyNumberFormat="1" applyFont="1" applyFill="1" applyBorder="1" applyAlignment="1">
      <alignment horizontal="center" vertical="center" wrapText="1"/>
    </xf>
    <xf numFmtId="10" fontId="41" fillId="6" borderId="4" xfId="0" applyNumberFormat="1" applyFont="1" applyFill="1" applyBorder="1" applyAlignment="1">
      <alignment vertical="center" wrapText="1"/>
    </xf>
    <xf numFmtId="0" fontId="0" fillId="0" borderId="4" xfId="0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0" fontId="0" fillId="16" borderId="4" xfId="0" applyFill="1" applyBorder="1" applyAlignment="1">
      <alignment horizontal="center" vertical="center"/>
    </xf>
    <xf numFmtId="4" fontId="40" fillId="17" borderId="4" xfId="0" applyNumberFormat="1" applyFont="1" applyFill="1" applyBorder="1" applyAlignment="1">
      <alignment horizontal="right" vertical="center" wrapText="1"/>
    </xf>
    <xf numFmtId="4" fontId="40" fillId="7" borderId="4" xfId="0" applyNumberFormat="1" applyFont="1" applyFill="1" applyBorder="1" applyAlignment="1">
      <alignment horizontal="right" vertical="center" wrapText="1"/>
    </xf>
    <xf numFmtId="4" fontId="38" fillId="7" borderId="4" xfId="0" applyNumberFormat="1" applyFont="1" applyFill="1" applyBorder="1" applyAlignment="1">
      <alignment horizontal="right" vertical="center" wrapText="1"/>
    </xf>
    <xf numFmtId="0" fontId="44" fillId="2" borderId="4" xfId="2" applyFont="1" applyFill="1" applyBorder="1" applyAlignment="1">
      <alignment horizontal="center" vertical="center" wrapText="1"/>
    </xf>
    <xf numFmtId="10" fontId="18" fillId="2" borderId="4" xfId="2" applyNumberFormat="1" applyFont="1" applyFill="1" applyBorder="1" applyAlignment="1">
      <alignment horizontal="center" vertical="center" wrapText="1"/>
    </xf>
    <xf numFmtId="0" fontId="38" fillId="15" borderId="6" xfId="0" applyFont="1" applyFill="1" applyBorder="1" applyAlignment="1">
      <alignment horizontal="center" vertical="center"/>
    </xf>
    <xf numFmtId="0" fontId="39" fillId="15" borderId="6" xfId="0" applyFont="1" applyFill="1" applyBorder="1" applyAlignment="1">
      <alignment horizontal="center" vertical="center"/>
    </xf>
    <xf numFmtId="164" fontId="40" fillId="0" borderId="4" xfId="0" applyNumberFormat="1" applyFont="1" applyBorder="1" applyAlignment="1">
      <alignment horizontal="center" vertical="center" wrapText="1"/>
    </xf>
    <xf numFmtId="164" fontId="0" fillId="0" borderId="4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38" fillId="15" borderId="2" xfId="0" applyFont="1" applyFill="1" applyBorder="1" applyAlignment="1">
      <alignment horizontal="center" vertical="center"/>
    </xf>
    <xf numFmtId="4" fontId="0" fillId="0" borderId="4" xfId="0" applyNumberFormat="1" applyBorder="1" applyAlignment="1">
      <alignment horizontal="center" vertical="center"/>
    </xf>
    <xf numFmtId="164" fontId="49" fillId="0" borderId="4" xfId="0" applyNumberFormat="1" applyFont="1" applyBorder="1" applyAlignment="1">
      <alignment horizontal="center" vertical="center"/>
    </xf>
    <xf numFmtId="4" fontId="50" fillId="17" borderId="4" xfId="0" applyNumberFormat="1" applyFont="1" applyFill="1" applyBorder="1" applyAlignment="1">
      <alignment horizontal="right" vertical="center" wrapText="1"/>
    </xf>
    <xf numFmtId="0" fontId="0" fillId="0" borderId="25" xfId="0" applyBorder="1" applyAlignment="1">
      <alignment horizontal="center" vertical="center" wrapText="1"/>
    </xf>
    <xf numFmtId="4" fontId="0" fillId="0" borderId="0" xfId="0" applyNumberFormat="1"/>
    <xf numFmtId="0" fontId="0" fillId="0" borderId="40" xfId="0" applyBorder="1" applyAlignment="1">
      <alignment horizontal="center" vertical="center" wrapText="1"/>
    </xf>
    <xf numFmtId="4" fontId="0" fillId="0" borderId="41" xfId="0" applyNumberFormat="1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4" fontId="32" fillId="0" borderId="41" xfId="0" applyNumberFormat="1" applyFont="1" applyBorder="1" applyAlignment="1">
      <alignment horizontal="center" vertical="center" wrapText="1"/>
    </xf>
    <xf numFmtId="4" fontId="32" fillId="0" borderId="36" xfId="0" applyNumberFormat="1" applyFont="1" applyBorder="1" applyAlignment="1">
      <alignment horizontal="center" vertical="center" wrapText="1"/>
    </xf>
    <xf numFmtId="0" fontId="0" fillId="0" borderId="43" xfId="0" applyBorder="1"/>
    <xf numFmtId="164" fontId="0" fillId="0" borderId="45" xfId="0" applyNumberFormat="1" applyBorder="1"/>
    <xf numFmtId="165" fontId="6" fillId="2" borderId="4" xfId="2" applyNumberFormat="1" applyFont="1" applyFill="1" applyBorder="1" applyAlignment="1">
      <alignment horizontal="center" wrapText="1"/>
    </xf>
    <xf numFmtId="4" fontId="7" fillId="0" borderId="4" xfId="0" applyNumberFormat="1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15" fillId="2" borderId="1" xfId="2" applyFont="1" applyFill="1" applyBorder="1" applyAlignment="1">
      <alignment horizontal="left" vertical="center" wrapText="1"/>
    </xf>
    <xf numFmtId="0" fontId="15" fillId="2" borderId="2" xfId="2" applyFont="1" applyFill="1" applyBorder="1" applyAlignment="1">
      <alignment horizontal="left" vertical="center" wrapText="1"/>
    </xf>
    <xf numFmtId="0" fontId="15" fillId="2" borderId="3" xfId="2" applyFont="1" applyFill="1" applyBorder="1" applyAlignment="1">
      <alignment horizontal="left" vertical="center" wrapText="1"/>
    </xf>
    <xf numFmtId="0" fontId="7" fillId="2" borderId="2" xfId="2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center" vertical="center" wrapText="1"/>
    </xf>
    <xf numFmtId="0" fontId="10" fillId="3" borderId="2" xfId="2" applyFont="1" applyFill="1" applyBorder="1" applyAlignment="1">
      <alignment horizontal="center" vertical="center" wrapText="1"/>
    </xf>
    <xf numFmtId="0" fontId="8" fillId="2" borderId="1" xfId="2" applyFont="1" applyFill="1" applyBorder="1" applyAlignment="1">
      <alignment horizontal="center" vertical="center" wrapText="1"/>
    </xf>
    <xf numFmtId="0" fontId="8" fillId="2" borderId="2" xfId="2" applyFont="1" applyFill="1" applyBorder="1" applyAlignment="1">
      <alignment horizontal="center" vertical="center" wrapText="1"/>
    </xf>
    <xf numFmtId="0" fontId="8" fillId="2" borderId="3" xfId="2" applyFont="1" applyFill="1" applyBorder="1" applyAlignment="1">
      <alignment horizontal="center" vertical="center" wrapText="1"/>
    </xf>
    <xf numFmtId="0" fontId="6" fillId="5" borderId="4" xfId="2" applyFont="1" applyFill="1" applyBorder="1" applyAlignment="1">
      <alignment horizontal="left" vertical="center" wrapText="1"/>
    </xf>
    <xf numFmtId="10" fontId="8" fillId="5" borderId="1" xfId="2" applyNumberFormat="1" applyFont="1" applyFill="1" applyBorder="1" applyAlignment="1">
      <alignment horizontal="center" vertical="center" wrapText="1"/>
    </xf>
    <xf numFmtId="10" fontId="8" fillId="5" borderId="3" xfId="2" applyNumberFormat="1" applyFont="1" applyFill="1" applyBorder="1" applyAlignment="1">
      <alignment horizontal="center" vertical="center" wrapText="1"/>
    </xf>
    <xf numFmtId="0" fontId="6" fillId="2" borderId="4" xfId="2" applyFont="1" applyFill="1" applyBorder="1" applyAlignment="1">
      <alignment horizontal="left" vertical="center" wrapText="1"/>
    </xf>
    <xf numFmtId="10" fontId="8" fillId="2" borderId="1" xfId="2" applyNumberFormat="1" applyFont="1" applyFill="1" applyBorder="1" applyAlignment="1">
      <alignment horizontal="center" vertical="center" wrapText="1"/>
    </xf>
    <xf numFmtId="10" fontId="8" fillId="2" borderId="3" xfId="2" applyNumberFormat="1" applyFont="1" applyFill="1" applyBorder="1" applyAlignment="1">
      <alignment horizontal="center" vertical="center" wrapText="1"/>
    </xf>
    <xf numFmtId="0" fontId="8" fillId="3" borderId="1" xfId="2" applyFont="1" applyFill="1" applyBorder="1" applyAlignment="1">
      <alignment horizontal="center" vertical="center" wrapText="1"/>
    </xf>
    <xf numFmtId="0" fontId="8" fillId="3" borderId="2" xfId="2" applyFont="1" applyFill="1" applyBorder="1" applyAlignment="1">
      <alignment horizontal="center" vertical="center" wrapText="1"/>
    </xf>
    <xf numFmtId="0" fontId="8" fillId="3" borderId="3" xfId="2" applyFont="1" applyFill="1" applyBorder="1" applyAlignment="1">
      <alignment horizontal="center" vertical="center" wrapText="1"/>
    </xf>
    <xf numFmtId="10" fontId="8" fillId="3" borderId="1" xfId="2" applyNumberFormat="1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left" vertical="center" wrapText="1"/>
    </xf>
    <xf numFmtId="0" fontId="6" fillId="2" borderId="2" xfId="2" applyFont="1" applyFill="1" applyBorder="1" applyAlignment="1">
      <alignment horizontal="left" vertical="center" wrapText="1"/>
    </xf>
    <xf numFmtId="0" fontId="6" fillId="2" borderId="3" xfId="2" applyFont="1" applyFill="1" applyBorder="1" applyAlignment="1">
      <alignment horizontal="left" vertical="center" wrapText="1"/>
    </xf>
    <xf numFmtId="0" fontId="10" fillId="3" borderId="1" xfId="2" applyFont="1" applyFill="1" applyBorder="1" applyAlignment="1">
      <alignment horizontal="center" vertical="center" wrapText="1"/>
    </xf>
    <xf numFmtId="0" fontId="8" fillId="2" borderId="4" xfId="2" applyFont="1" applyFill="1" applyBorder="1" applyAlignment="1">
      <alignment horizontal="center" vertical="center" wrapText="1"/>
    </xf>
    <xf numFmtId="10" fontId="10" fillId="2" borderId="4" xfId="2" applyNumberFormat="1" applyFont="1" applyFill="1" applyBorder="1" applyAlignment="1">
      <alignment horizontal="center" vertical="center" wrapText="1"/>
    </xf>
    <xf numFmtId="0" fontId="8" fillId="2" borderId="1" xfId="2" applyFont="1" applyFill="1" applyBorder="1" applyAlignment="1">
      <alignment horizontal="left" vertical="center" wrapText="1"/>
    </xf>
    <xf numFmtId="0" fontId="8" fillId="2" borderId="2" xfId="2" applyFont="1" applyFill="1" applyBorder="1" applyAlignment="1">
      <alignment horizontal="left" vertical="center" wrapText="1"/>
    </xf>
    <xf numFmtId="0" fontId="8" fillId="2" borderId="3" xfId="2" applyFont="1" applyFill="1" applyBorder="1" applyAlignment="1">
      <alignment horizontal="left" vertical="center" wrapText="1"/>
    </xf>
    <xf numFmtId="0" fontId="6" fillId="2" borderId="1" xfId="2" applyFont="1" applyFill="1" applyBorder="1" applyAlignment="1">
      <alignment horizontal="center" vertical="center" wrapText="1"/>
    </xf>
    <xf numFmtId="0" fontId="6" fillId="2" borderId="2" xfId="2" applyFont="1" applyFill="1" applyBorder="1" applyAlignment="1">
      <alignment horizontal="center" vertical="center" wrapText="1"/>
    </xf>
    <xf numFmtId="0" fontId="6" fillId="2" borderId="3" xfId="2" applyFont="1" applyFill="1" applyBorder="1" applyAlignment="1">
      <alignment horizontal="center" vertical="center" wrapText="1"/>
    </xf>
    <xf numFmtId="0" fontId="10" fillId="3" borderId="3" xfId="2" applyFont="1" applyFill="1" applyBorder="1" applyAlignment="1">
      <alignment horizontal="center" vertical="center" wrapText="1"/>
    </xf>
    <xf numFmtId="0" fontId="13" fillId="2" borderId="1" xfId="2" applyFont="1" applyFill="1" applyBorder="1" applyAlignment="1">
      <alignment horizontal="left" vertical="center" wrapText="1"/>
    </xf>
    <xf numFmtId="0" fontId="8" fillId="0" borderId="1" xfId="2" applyFont="1" applyBorder="1" applyAlignment="1">
      <alignment horizontal="left" vertical="center" wrapText="1"/>
    </xf>
    <xf numFmtId="0" fontId="8" fillId="0" borderId="2" xfId="2" applyFont="1" applyBorder="1" applyAlignment="1">
      <alignment horizontal="left" vertical="center" wrapText="1"/>
    </xf>
    <xf numFmtId="0" fontId="8" fillId="0" borderId="3" xfId="2" applyFont="1" applyBorder="1" applyAlignment="1">
      <alignment horizontal="left" vertical="center" wrapText="1"/>
    </xf>
    <xf numFmtId="0" fontId="16" fillId="3" borderId="1" xfId="2" applyFont="1" applyFill="1" applyBorder="1" applyAlignment="1">
      <alignment horizontal="center" vertical="center" wrapText="1"/>
    </xf>
    <xf numFmtId="0" fontId="16" fillId="3" borderId="2" xfId="2" applyFont="1" applyFill="1" applyBorder="1" applyAlignment="1">
      <alignment horizontal="center" vertical="center" wrapText="1"/>
    </xf>
    <xf numFmtId="0" fontId="16" fillId="3" borderId="3" xfId="2" applyFont="1" applyFill="1" applyBorder="1" applyAlignment="1">
      <alignment horizontal="center" vertical="center" wrapText="1"/>
    </xf>
    <xf numFmtId="0" fontId="8" fillId="3" borderId="1" xfId="2" applyFont="1" applyFill="1" applyBorder="1" applyAlignment="1">
      <alignment horizontal="center" wrapText="1"/>
    </xf>
    <xf numFmtId="0" fontId="8" fillId="3" borderId="2" xfId="2" applyFont="1" applyFill="1" applyBorder="1" applyAlignment="1">
      <alignment horizontal="center" wrapText="1"/>
    </xf>
    <xf numFmtId="0" fontId="8" fillId="3" borderId="3" xfId="2" applyFont="1" applyFill="1" applyBorder="1" applyAlignment="1">
      <alignment horizontal="center" wrapText="1"/>
    </xf>
    <xf numFmtId="0" fontId="16" fillId="2" borderId="1" xfId="2" applyFont="1" applyFill="1" applyBorder="1" applyAlignment="1">
      <alignment horizontal="center" wrapText="1"/>
    </xf>
    <xf numFmtId="0" fontId="16" fillId="2" borderId="2" xfId="2" applyFont="1" applyFill="1" applyBorder="1" applyAlignment="1">
      <alignment horizontal="center" wrapText="1"/>
    </xf>
    <xf numFmtId="0" fontId="16" fillId="2" borderId="3" xfId="2" applyFont="1" applyFill="1" applyBorder="1" applyAlignment="1">
      <alignment horizontal="center" wrapText="1"/>
    </xf>
    <xf numFmtId="0" fontId="10" fillId="3" borderId="4" xfId="2" applyFont="1" applyFill="1" applyBorder="1" applyAlignment="1">
      <alignment horizontal="center" vertical="center" wrapText="1"/>
    </xf>
    <xf numFmtId="0" fontId="8" fillId="2" borderId="4" xfId="2" applyFont="1" applyFill="1" applyBorder="1" applyAlignment="1">
      <alignment horizontal="left" vertical="center" wrapText="1"/>
    </xf>
    <xf numFmtId="0" fontId="21" fillId="2" borderId="1" xfId="2" applyFont="1" applyFill="1" applyBorder="1" applyAlignment="1">
      <alignment horizontal="left" vertical="center" wrapText="1"/>
    </xf>
    <xf numFmtId="0" fontId="21" fillId="2" borderId="2" xfId="2" applyFont="1" applyFill="1" applyBorder="1" applyAlignment="1">
      <alignment horizontal="left" vertical="center" wrapText="1"/>
    </xf>
    <xf numFmtId="0" fontId="21" fillId="2" borderId="3" xfId="2" applyFont="1" applyFill="1" applyBorder="1" applyAlignment="1">
      <alignment horizontal="left" vertical="center" wrapText="1"/>
    </xf>
    <xf numFmtId="0" fontId="6" fillId="9" borderId="4" xfId="2" applyFont="1" applyFill="1" applyBorder="1" applyAlignment="1">
      <alignment horizontal="left" vertical="center" wrapText="1"/>
    </xf>
    <xf numFmtId="0" fontId="19" fillId="0" borderId="2" xfId="0" applyFont="1" applyBorder="1" applyAlignment="1">
      <alignment horizontal="left" vertical="center" wrapText="1"/>
    </xf>
    <xf numFmtId="0" fontId="19" fillId="0" borderId="3" xfId="0" applyFont="1" applyBorder="1" applyAlignment="1">
      <alignment horizontal="left" vertical="center" wrapText="1"/>
    </xf>
    <xf numFmtId="0" fontId="6" fillId="5" borderId="1" xfId="2" applyFont="1" applyFill="1" applyBorder="1" applyAlignment="1">
      <alignment horizontal="left" vertical="center" wrapText="1"/>
    </xf>
    <xf numFmtId="0" fontId="6" fillId="5" borderId="2" xfId="2" applyFont="1" applyFill="1" applyBorder="1" applyAlignment="1">
      <alignment horizontal="left" vertical="center" wrapText="1"/>
    </xf>
    <xf numFmtId="0" fontId="6" fillId="5" borderId="3" xfId="2" applyFont="1" applyFill="1" applyBorder="1" applyAlignment="1">
      <alignment horizontal="left" vertical="center" wrapText="1"/>
    </xf>
    <xf numFmtId="0" fontId="15" fillId="0" borderId="1" xfId="2" applyFont="1" applyBorder="1" applyAlignment="1">
      <alignment horizontal="left" vertical="center" wrapText="1"/>
    </xf>
    <xf numFmtId="0" fontId="15" fillId="0" borderId="2" xfId="2" applyFont="1" applyBorder="1" applyAlignment="1">
      <alignment horizontal="left" vertical="center" wrapText="1"/>
    </xf>
    <xf numFmtId="0" fontId="15" fillId="0" borderId="3" xfId="2" applyFont="1" applyBorder="1" applyAlignment="1">
      <alignment horizontal="left" vertical="center" wrapText="1"/>
    </xf>
    <xf numFmtId="14" fontId="6" fillId="2" borderId="1" xfId="2" applyNumberFormat="1" applyFont="1" applyFill="1" applyBorder="1" applyAlignment="1">
      <alignment horizontal="center" vertical="center" wrapText="1"/>
    </xf>
    <xf numFmtId="0" fontId="17" fillId="3" borderId="4" xfId="2" applyFont="1" applyFill="1" applyBorder="1" applyAlignment="1">
      <alignment horizontal="center" vertical="center" wrapText="1"/>
    </xf>
    <xf numFmtId="0" fontId="6" fillId="0" borderId="1" xfId="2" applyFont="1" applyBorder="1" applyAlignment="1">
      <alignment horizontal="left" vertical="center" wrapText="1"/>
    </xf>
    <xf numFmtId="0" fontId="6" fillId="0" borderId="2" xfId="2" applyFont="1" applyBorder="1" applyAlignment="1">
      <alignment horizontal="left" vertical="center" wrapText="1"/>
    </xf>
    <xf numFmtId="0" fontId="6" fillId="0" borderId="3" xfId="2" applyFont="1" applyBorder="1" applyAlignment="1">
      <alignment horizontal="left" vertical="center" wrapText="1"/>
    </xf>
    <xf numFmtId="164" fontId="8" fillId="3" borderId="1" xfId="2" applyNumberFormat="1" applyFont="1" applyFill="1" applyBorder="1" applyAlignment="1">
      <alignment horizontal="center" vertical="center" wrapText="1"/>
    </xf>
    <xf numFmtId="164" fontId="8" fillId="3" borderId="3" xfId="2" applyNumberFormat="1" applyFont="1" applyFill="1" applyBorder="1" applyAlignment="1">
      <alignment horizontal="center" vertical="center" wrapText="1"/>
    </xf>
    <xf numFmtId="0" fontId="6" fillId="0" borderId="4" xfId="2" applyFont="1" applyBorder="1" applyAlignment="1">
      <alignment horizontal="left" vertical="center" wrapText="1"/>
    </xf>
    <xf numFmtId="0" fontId="6" fillId="0" borderId="0" xfId="2" applyFont="1" applyAlignment="1">
      <alignment horizontal="left" vertical="center" wrapText="1"/>
    </xf>
    <xf numFmtId="0" fontId="8" fillId="0" borderId="1" xfId="2" applyFont="1" applyBorder="1" applyAlignment="1">
      <alignment vertical="center" wrapText="1"/>
    </xf>
    <xf numFmtId="0" fontId="8" fillId="0" borderId="2" xfId="2" applyFont="1" applyBorder="1" applyAlignment="1">
      <alignment vertical="center" wrapText="1"/>
    </xf>
    <xf numFmtId="0" fontId="8" fillId="0" borderId="3" xfId="2" applyFont="1" applyBorder="1" applyAlignment="1">
      <alignment vertical="center" wrapText="1"/>
    </xf>
    <xf numFmtId="0" fontId="13" fillId="3" borderId="1" xfId="2" applyFont="1" applyFill="1" applyBorder="1" applyAlignment="1">
      <alignment horizontal="center" vertical="center" wrapText="1"/>
    </xf>
    <xf numFmtId="0" fontId="13" fillId="3" borderId="3" xfId="2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vertical="center" wrapText="1"/>
    </xf>
    <xf numFmtId="0" fontId="6" fillId="2" borderId="2" xfId="2" applyFont="1" applyFill="1" applyBorder="1" applyAlignment="1">
      <alignment vertical="center" wrapText="1"/>
    </xf>
    <xf numFmtId="0" fontId="6" fillId="2" borderId="3" xfId="2" applyFont="1" applyFill="1" applyBorder="1" applyAlignment="1">
      <alignment vertical="center" wrapText="1"/>
    </xf>
    <xf numFmtId="0" fontId="12" fillId="2" borderId="1" xfId="2" applyFont="1" applyFill="1" applyBorder="1" applyAlignment="1">
      <alignment horizontal="center" vertical="center" wrapText="1"/>
    </xf>
    <xf numFmtId="0" fontId="12" fillId="2" borderId="3" xfId="2" applyFont="1" applyFill="1" applyBorder="1" applyAlignment="1">
      <alignment horizontal="center" vertical="center" wrapText="1"/>
    </xf>
    <xf numFmtId="0" fontId="10" fillId="2" borderId="4" xfId="2" applyFont="1" applyFill="1" applyBorder="1" applyAlignment="1">
      <alignment horizontal="left" vertical="center" wrapText="1"/>
    </xf>
    <xf numFmtId="0" fontId="7" fillId="2" borderId="4" xfId="2" applyFont="1" applyFill="1" applyBorder="1" applyAlignment="1">
      <alignment horizontal="center" wrapText="1"/>
    </xf>
    <xf numFmtId="0" fontId="9" fillId="3" borderId="1" xfId="2" applyFont="1" applyFill="1" applyBorder="1" applyAlignment="1">
      <alignment horizontal="center" vertical="center" wrapText="1"/>
    </xf>
    <xf numFmtId="0" fontId="9" fillId="3" borderId="2" xfId="2" applyFont="1" applyFill="1" applyBorder="1" applyAlignment="1">
      <alignment horizontal="center" vertical="center" wrapText="1"/>
    </xf>
    <xf numFmtId="0" fontId="9" fillId="3" borderId="3" xfId="2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left" vertical="center" wrapText="1"/>
    </xf>
    <xf numFmtId="0" fontId="10" fillId="2" borderId="2" xfId="2" applyFont="1" applyFill="1" applyBorder="1" applyAlignment="1">
      <alignment horizontal="left" vertical="center" wrapText="1"/>
    </xf>
    <xf numFmtId="0" fontId="10" fillId="2" borderId="3" xfId="2" applyFont="1" applyFill="1" applyBorder="1" applyAlignment="1">
      <alignment horizontal="left" vertical="center" wrapText="1"/>
    </xf>
    <xf numFmtId="14" fontId="6" fillId="2" borderId="3" xfId="2" applyNumberFormat="1" applyFont="1" applyFill="1" applyBorder="1" applyAlignment="1">
      <alignment horizontal="center" vertical="center" wrapText="1"/>
    </xf>
    <xf numFmtId="0" fontId="10" fillId="2" borderId="4" xfId="2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center" vertical="center" wrapText="1"/>
    </xf>
    <xf numFmtId="0" fontId="10" fillId="2" borderId="3" xfId="2" applyFont="1" applyFill="1" applyBorder="1" applyAlignment="1">
      <alignment horizontal="center" vertical="center" wrapText="1"/>
    </xf>
    <xf numFmtId="0" fontId="8" fillId="0" borderId="4" xfId="2" applyFont="1" applyBorder="1" applyAlignment="1">
      <alignment horizontal="center" vertical="center" wrapText="1"/>
    </xf>
    <xf numFmtId="0" fontId="16" fillId="4" borderId="9" xfId="2" applyFont="1" applyFill="1" applyBorder="1" applyAlignment="1">
      <alignment horizontal="center" vertical="center" wrapText="1"/>
    </xf>
    <xf numFmtId="0" fontId="16" fillId="4" borderId="8" xfId="2" applyFont="1" applyFill="1" applyBorder="1" applyAlignment="1">
      <alignment horizontal="center" vertical="center" wrapText="1"/>
    </xf>
    <xf numFmtId="0" fontId="16" fillId="4" borderId="10" xfId="2" applyFont="1" applyFill="1" applyBorder="1" applyAlignment="1">
      <alignment horizontal="center" vertical="center" wrapText="1"/>
    </xf>
    <xf numFmtId="0" fontId="12" fillId="2" borderId="4" xfId="2" applyFont="1" applyFill="1" applyBorder="1" applyAlignment="1">
      <alignment horizontal="center" vertical="center" wrapText="1"/>
    </xf>
    <xf numFmtId="0" fontId="16" fillId="3" borderId="4" xfId="2" applyFont="1" applyFill="1" applyBorder="1" applyAlignment="1">
      <alignment horizontal="center" vertical="center" wrapText="1"/>
    </xf>
    <xf numFmtId="0" fontId="45" fillId="2" borderId="1" xfId="2" applyFont="1" applyFill="1" applyBorder="1" applyAlignment="1">
      <alignment horizontal="left" vertical="center" wrapText="1"/>
    </xf>
    <xf numFmtId="0" fontId="45" fillId="2" borderId="2" xfId="2" applyFont="1" applyFill="1" applyBorder="1" applyAlignment="1">
      <alignment horizontal="left" vertical="center" wrapText="1"/>
    </xf>
    <xf numFmtId="0" fontId="45" fillId="2" borderId="3" xfId="2" applyFont="1" applyFill="1" applyBorder="1" applyAlignment="1">
      <alignment horizontal="left" vertical="center" wrapText="1"/>
    </xf>
    <xf numFmtId="0" fontId="20" fillId="0" borderId="2" xfId="0" applyFont="1" applyBorder="1" applyAlignment="1">
      <alignment horizontal="left" vertical="center" wrapText="1"/>
    </xf>
    <xf numFmtId="0" fontId="29" fillId="7" borderId="4" xfId="2" applyFont="1" applyFill="1" applyBorder="1" applyAlignment="1">
      <alignment horizontal="center" vertical="center" wrapText="1"/>
    </xf>
    <xf numFmtId="0" fontId="38" fillId="15" borderId="4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39" fillId="15" borderId="4" xfId="0" applyFont="1" applyFill="1" applyBorder="1" applyAlignment="1">
      <alignment horizontal="center" vertical="center" wrapText="1"/>
    </xf>
    <xf numFmtId="0" fontId="39" fillId="15" borderId="6" xfId="0" applyFont="1" applyFill="1" applyBorder="1" applyAlignment="1">
      <alignment horizontal="center" vertical="center" wrapText="1"/>
    </xf>
    <xf numFmtId="0" fontId="47" fillId="0" borderId="4" xfId="0" applyFont="1" applyBorder="1" applyAlignment="1">
      <alignment horizontal="center" vertical="center" wrapText="1"/>
    </xf>
    <xf numFmtId="0" fontId="47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8" fillId="15" borderId="1" xfId="0" applyFont="1" applyFill="1" applyBorder="1" applyAlignment="1">
      <alignment horizontal="center" vertical="center"/>
    </xf>
    <xf numFmtId="0" fontId="38" fillId="15" borderId="2" xfId="0" applyFont="1" applyFill="1" applyBorder="1" applyAlignment="1">
      <alignment horizontal="center" vertical="center"/>
    </xf>
    <xf numFmtId="0" fontId="36" fillId="0" borderId="0" xfId="4" applyFont="1" applyAlignment="1">
      <alignment horizontal="center"/>
    </xf>
    <xf numFmtId="0" fontId="35" fillId="0" borderId="0" xfId="4" applyFont="1" applyAlignment="1">
      <alignment horizontal="left"/>
    </xf>
    <xf numFmtId="0" fontId="0" fillId="5" borderId="4" xfId="0" applyFill="1" applyBorder="1" applyAlignment="1">
      <alignment horizontal="left" vertical="center"/>
    </xf>
    <xf numFmtId="0" fontId="43" fillId="0" borderId="4" xfId="5" applyBorder="1" applyAlignment="1">
      <alignment horizontal="left"/>
    </xf>
    <xf numFmtId="0" fontId="39" fillId="7" borderId="4" xfId="0" applyFont="1" applyFill="1" applyBorder="1" applyAlignment="1">
      <alignment horizontal="center" vertical="center" wrapText="1"/>
    </xf>
    <xf numFmtId="0" fontId="37" fillId="15" borderId="4" xfId="0" applyFont="1" applyFill="1" applyBorder="1" applyAlignment="1">
      <alignment horizontal="center" vertical="center" wrapText="1"/>
    </xf>
    <xf numFmtId="0" fontId="39" fillId="17" borderId="5" xfId="0" applyFont="1" applyFill="1" applyBorder="1" applyAlignment="1">
      <alignment horizontal="center" vertical="center" wrapText="1"/>
    </xf>
    <xf numFmtId="0" fontId="39" fillId="17" borderId="6" xfId="0" applyFont="1" applyFill="1" applyBorder="1" applyAlignment="1">
      <alignment horizontal="center" vertical="center" wrapText="1"/>
    </xf>
    <xf numFmtId="0" fontId="0" fillId="16" borderId="4" xfId="0" applyFill="1" applyBorder="1" applyAlignment="1">
      <alignment horizontal="left" vertical="center"/>
    </xf>
    <xf numFmtId="0" fontId="0" fillId="0" borderId="8" xfId="0" applyBorder="1" applyAlignment="1">
      <alignment horizontal="center"/>
    </xf>
    <xf numFmtId="164" fontId="0" fillId="0" borderId="8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18" borderId="4" xfId="0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center" vertical="center"/>
    </xf>
    <xf numFmtId="0" fontId="38" fillId="17" borderId="4" xfId="0" applyFont="1" applyFill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3" fillId="0" borderId="4" xfId="4" applyFont="1" applyBorder="1" applyAlignment="1">
      <alignment horizontal="center" vertical="center"/>
    </xf>
    <xf numFmtId="0" fontId="26" fillId="0" borderId="4" xfId="4" applyFont="1" applyBorder="1" applyAlignment="1">
      <alignment horizontal="center" vertical="center"/>
    </xf>
    <xf numFmtId="164" fontId="27" fillId="0" borderId="4" xfId="4" applyNumberFormat="1" applyFont="1" applyBorder="1" applyAlignment="1">
      <alignment horizontal="left" vertical="center" wrapText="1"/>
    </xf>
    <xf numFmtId="0" fontId="27" fillId="0" borderId="4" xfId="4" applyFont="1" applyBorder="1" applyAlignment="1">
      <alignment horizontal="left" vertical="center" wrapText="1"/>
    </xf>
    <xf numFmtId="4" fontId="27" fillId="0" borderId="4" xfId="4" applyNumberFormat="1" applyFont="1" applyBorder="1" applyAlignment="1">
      <alignment horizontal="center" vertical="center" wrapText="1"/>
    </xf>
    <xf numFmtId="4" fontId="26" fillId="0" borderId="4" xfId="4" applyNumberFormat="1" applyFont="1" applyBorder="1" applyAlignment="1">
      <alignment horizontal="center" vertical="center" wrapText="1"/>
    </xf>
    <xf numFmtId="0" fontId="23" fillId="0" borderId="4" xfId="2" applyFont="1" applyBorder="1" applyAlignment="1">
      <alignment horizontal="left" vertical="center"/>
    </xf>
    <xf numFmtId="0" fontId="27" fillId="0" borderId="4" xfId="4" applyFont="1" applyBorder="1" applyAlignment="1">
      <alignment horizontal="center"/>
    </xf>
    <xf numFmtId="0" fontId="27" fillId="0" borderId="4" xfId="4" applyFont="1" applyBorder="1" applyAlignment="1">
      <alignment horizontal="center" vertical="center"/>
    </xf>
    <xf numFmtId="0" fontId="26" fillId="10" borderId="4" xfId="4" applyFont="1" applyFill="1" applyBorder="1" applyAlignment="1">
      <alignment horizontal="center" vertical="center" wrapText="1"/>
    </xf>
    <xf numFmtId="0" fontId="8" fillId="0" borderId="4" xfId="2" applyFont="1" applyBorder="1" applyAlignment="1">
      <alignment horizontal="left" vertical="center" wrapText="1"/>
    </xf>
    <xf numFmtId="0" fontId="25" fillId="0" borderId="4" xfId="2" applyFont="1" applyBorder="1" applyAlignment="1">
      <alignment horizontal="center" vertical="center" wrapText="1"/>
    </xf>
    <xf numFmtId="0" fontId="23" fillId="0" borderId="4" xfId="4" applyFon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0" fontId="26" fillId="0" borderId="4" xfId="4" applyFont="1" applyBorder="1" applyAlignment="1">
      <alignment horizontal="center" vertical="center" wrapText="1"/>
    </xf>
    <xf numFmtId="164" fontId="26" fillId="0" borderId="4" xfId="4" applyNumberFormat="1" applyFont="1" applyBorder="1" applyAlignment="1">
      <alignment horizontal="center" vertical="center" wrapText="1"/>
    </xf>
    <xf numFmtId="0" fontId="24" fillId="0" borderId="4" xfId="4" applyFont="1" applyBorder="1" applyAlignment="1">
      <alignment horizontal="center" vertical="center"/>
    </xf>
    <xf numFmtId="0" fontId="27" fillId="0" borderId="1" xfId="4" applyFont="1" applyBorder="1" applyAlignment="1">
      <alignment horizontal="left" vertical="center"/>
    </xf>
    <xf numFmtId="0" fontId="27" fillId="0" borderId="2" xfId="4" applyFont="1" applyBorder="1" applyAlignment="1">
      <alignment horizontal="left" vertical="center"/>
    </xf>
    <xf numFmtId="0" fontId="27" fillId="0" borderId="3" xfId="4" applyFont="1" applyBorder="1" applyAlignment="1">
      <alignment horizontal="left" vertical="center"/>
    </xf>
    <xf numFmtId="4" fontId="26" fillId="0" borderId="4" xfId="4" applyNumberFormat="1" applyFont="1" applyBorder="1" applyAlignment="1">
      <alignment horizontal="center"/>
    </xf>
    <xf numFmtId="4" fontId="26" fillId="0" borderId="1" xfId="4" applyNumberFormat="1" applyFont="1" applyBorder="1" applyAlignment="1">
      <alignment horizontal="center"/>
    </xf>
    <xf numFmtId="4" fontId="26" fillId="0" borderId="3" xfId="4" applyNumberFormat="1" applyFont="1" applyBorder="1" applyAlignment="1">
      <alignment horizontal="center"/>
    </xf>
    <xf numFmtId="4" fontId="26" fillId="0" borderId="4" xfId="4" applyNumberFormat="1" applyFont="1" applyBorder="1" applyAlignment="1">
      <alignment horizontal="center" vertical="center"/>
    </xf>
    <xf numFmtId="0" fontId="48" fillId="8" borderId="1" xfId="0" applyFont="1" applyFill="1" applyBorder="1" applyAlignment="1">
      <alignment horizontal="center" vertical="center" wrapText="1"/>
    </xf>
    <xf numFmtId="0" fontId="48" fillId="8" borderId="3" xfId="0" applyFont="1" applyFill="1" applyBorder="1" applyAlignment="1">
      <alignment horizontal="center" vertical="center" wrapText="1"/>
    </xf>
    <xf numFmtId="0" fontId="48" fillId="11" borderId="1" xfId="0" applyFont="1" applyFill="1" applyBorder="1" applyAlignment="1">
      <alignment horizontal="center" vertical="center" wrapText="1"/>
    </xf>
    <xf numFmtId="0" fontId="48" fillId="11" borderId="3" xfId="0" applyFont="1" applyFill="1" applyBorder="1" applyAlignment="1">
      <alignment horizontal="center" vertical="center" wrapText="1"/>
    </xf>
    <xf numFmtId="0" fontId="48" fillId="12" borderId="1" xfId="0" applyFont="1" applyFill="1" applyBorder="1" applyAlignment="1">
      <alignment horizontal="center" vertical="center" wrapText="1"/>
    </xf>
    <xf numFmtId="0" fontId="48" fillId="12" borderId="3" xfId="0" applyFont="1" applyFill="1" applyBorder="1" applyAlignment="1">
      <alignment horizontal="center" vertical="center" wrapText="1"/>
    </xf>
    <xf numFmtId="0" fontId="42" fillId="0" borderId="4" xfId="0" applyFont="1" applyBorder="1" applyAlignment="1">
      <alignment horizontal="left" vertical="center" wrapText="1"/>
    </xf>
    <xf numFmtId="0" fontId="24" fillId="0" borderId="1" xfId="0" applyFont="1" applyBorder="1" applyAlignment="1">
      <alignment horizontal="left" vertical="center" wrapText="1"/>
    </xf>
    <xf numFmtId="0" fontId="28" fillId="0" borderId="2" xfId="0" applyFont="1" applyBorder="1" applyAlignment="1">
      <alignment horizontal="left" vertical="center" wrapText="1"/>
    </xf>
    <xf numFmtId="0" fontId="28" fillId="0" borderId="3" xfId="0" applyFont="1" applyBorder="1" applyAlignment="1">
      <alignment horizontal="left" vertical="center" wrapText="1"/>
    </xf>
    <xf numFmtId="0" fontId="2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8" fillId="0" borderId="4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0" fillId="7" borderId="4" xfId="0" applyFont="1" applyFill="1" applyBorder="1" applyAlignment="1">
      <alignment horizontal="center" vertical="center" wrapText="1"/>
    </xf>
    <xf numFmtId="0" fontId="30" fillId="2" borderId="2" xfId="0" applyFont="1" applyFill="1" applyBorder="1" applyAlignment="1">
      <alignment horizontal="center" vertical="center"/>
    </xf>
    <xf numFmtId="0" fontId="30" fillId="2" borderId="3" xfId="0" applyFont="1" applyFill="1" applyBorder="1" applyAlignment="1">
      <alignment horizontal="center" vertical="center"/>
    </xf>
    <xf numFmtId="0" fontId="30" fillId="2" borderId="5" xfId="0" applyFont="1" applyFill="1" applyBorder="1" applyAlignment="1">
      <alignment horizontal="center" vertical="center" wrapText="1"/>
    </xf>
    <xf numFmtId="0" fontId="30" fillId="2" borderId="12" xfId="0" applyFont="1" applyFill="1" applyBorder="1" applyAlignment="1">
      <alignment horizontal="center" vertical="center" wrapText="1"/>
    </xf>
    <xf numFmtId="0" fontId="30" fillId="2" borderId="6" xfId="0" applyFont="1" applyFill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/>
    </xf>
    <xf numFmtId="0" fontId="31" fillId="0" borderId="2" xfId="0" applyFont="1" applyBorder="1" applyAlignment="1">
      <alignment horizontal="center" vertical="center"/>
    </xf>
    <xf numFmtId="0" fontId="31" fillId="0" borderId="3" xfId="0" applyFont="1" applyBorder="1" applyAlignment="1">
      <alignment horizontal="center" vertical="center"/>
    </xf>
    <xf numFmtId="0" fontId="0" fillId="0" borderId="44" xfId="0" applyBorder="1" applyAlignment="1">
      <alignment horizontal="center"/>
    </xf>
    <xf numFmtId="0" fontId="32" fillId="0" borderId="28" xfId="0" applyFont="1" applyBorder="1" applyAlignment="1">
      <alignment horizontal="center" vertical="center" wrapText="1"/>
    </xf>
    <xf numFmtId="0" fontId="32" fillId="0" borderId="29" xfId="0" applyFont="1" applyBorder="1" applyAlignment="1">
      <alignment horizontal="center" vertical="center" wrapText="1"/>
    </xf>
    <xf numFmtId="0" fontId="32" fillId="0" borderId="30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</cellXfs>
  <cellStyles count="6">
    <cellStyle name="Hiperlink" xfId="5" builtinId="8"/>
    <cellStyle name="Normal" xfId="0" builtinId="0"/>
    <cellStyle name="Normal 2" xfId="2"/>
    <cellStyle name="Normal 3" xfId="4"/>
    <cellStyle name="Porcentagem" xfId="3" builtinId="5"/>
    <cellStyle name="Vírgula" xfId="1" builtinId="3"/>
  </cellStyles>
  <dxfs count="0"/>
  <tableStyles count="0" defaultTableStyle="TableStyleMedium2" defaultPivotStyle="PivotStyleLight16"/>
  <colors>
    <mruColors>
      <color rgb="FFA2DAE0"/>
      <color rgb="FF99DFE9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GABINETE\Termo%20de%20Referencia\TR%20Diversos%202019\TR%20Manuten&#231;&#227;o%20Ar%20Condicionado\PLANLHAS\Planilha%20Manuten&#231;&#227;o%20Ar%20Condicionado%202019%20(Salvo%20automaticamente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lação Mat. Consumo Repos. (2"/>
      <sheetName val="Mat. Dimerização"/>
      <sheetName val="Eng. Mecânico"/>
      <sheetName val="Tec. Segurança "/>
      <sheetName val="Encarregado de Manutenção AC"/>
      <sheetName val="Tec. Mecânico AC"/>
      <sheetName val="Auxiliar Técnico AC"/>
      <sheetName val="Materiais Pesquisa"/>
      <sheetName val="Serviços Especializado Pesquisa"/>
      <sheetName val="Serviços Especializado Consolid"/>
      <sheetName val="Ferramentas-Equips Pesquisa "/>
      <sheetName val=" EPI Pesquisa"/>
      <sheetName val=" Uniformes Pesquisa"/>
      <sheetName val="Uniformes Consolidada"/>
      <sheetName val="Resumo Geral (MO+Mat.)"/>
      <sheetName val="Autorização de Materiais"/>
      <sheetName val="Pesquisa MO x Orgãos Publicos"/>
      <sheetName val="Form. Relatório Manut. Corret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9DFE9"/>
  </sheetPr>
  <dimension ref="A2:G159"/>
  <sheetViews>
    <sheetView topLeftCell="A142" zoomScale="150" zoomScaleNormal="150" workbookViewId="0">
      <selection activeCell="G158" sqref="G158"/>
    </sheetView>
  </sheetViews>
  <sheetFormatPr defaultColWidth="9.140625" defaultRowHeight="15" x14ac:dyDescent="0.25"/>
  <cols>
    <col min="1" max="1" width="6.140625" style="2" customWidth="1"/>
    <col min="2" max="5" width="15.7109375" style="2" customWidth="1"/>
    <col min="6" max="7" width="12.7109375" style="2" customWidth="1"/>
    <col min="8" max="16384" width="9.140625" style="2"/>
  </cols>
  <sheetData>
    <row r="2" spans="1:7" x14ac:dyDescent="0.25">
      <c r="A2" s="213" t="s">
        <v>0</v>
      </c>
      <c r="B2" s="213"/>
      <c r="C2" s="213"/>
      <c r="D2" s="213"/>
      <c r="E2" s="213"/>
      <c r="F2" s="213"/>
      <c r="G2" s="213"/>
    </row>
    <row r="3" spans="1:7" x14ac:dyDescent="0.25">
      <c r="A3" s="213" t="s">
        <v>1</v>
      </c>
      <c r="B3" s="213"/>
      <c r="C3" s="213"/>
      <c r="D3" s="213"/>
      <c r="E3" s="213"/>
      <c r="F3" s="213"/>
      <c r="G3" s="213"/>
    </row>
    <row r="4" spans="1:7" x14ac:dyDescent="0.25">
      <c r="A4" s="213" t="s">
        <v>2</v>
      </c>
      <c r="B4" s="213"/>
      <c r="C4" s="213"/>
      <c r="D4" s="213"/>
      <c r="E4" s="213"/>
      <c r="F4" s="213"/>
      <c r="G4" s="213"/>
    </row>
    <row r="5" spans="1:7" x14ac:dyDescent="0.25">
      <c r="A5" s="213" t="s">
        <v>3</v>
      </c>
      <c r="B5" s="213"/>
      <c r="C5" s="213"/>
      <c r="D5" s="213"/>
      <c r="E5" s="213"/>
      <c r="F5" s="213"/>
      <c r="G5" s="213"/>
    </row>
    <row r="6" spans="1:7" x14ac:dyDescent="0.25">
      <c r="A6" s="213" t="s">
        <v>4</v>
      </c>
      <c r="B6" s="213"/>
      <c r="C6" s="213"/>
      <c r="D6" s="213"/>
      <c r="E6" s="213"/>
      <c r="F6" s="213"/>
      <c r="G6" s="213"/>
    </row>
    <row r="7" spans="1:7" x14ac:dyDescent="0.25">
      <c r="A7" s="214"/>
      <c r="B7" s="214"/>
      <c r="C7" s="214"/>
      <c r="D7" s="214"/>
      <c r="E7" s="214"/>
      <c r="F7" s="214"/>
      <c r="G7" s="214"/>
    </row>
    <row r="8" spans="1:7" ht="48.75" customHeight="1" x14ac:dyDescent="0.25">
      <c r="A8" s="213" t="s">
        <v>207</v>
      </c>
      <c r="B8" s="213"/>
      <c r="C8" s="213"/>
      <c r="D8" s="213"/>
      <c r="E8" s="213"/>
      <c r="F8" s="213"/>
      <c r="G8" s="213"/>
    </row>
    <row r="9" spans="1:7" x14ac:dyDescent="0.25">
      <c r="A9" s="226"/>
      <c r="B9" s="226"/>
      <c r="C9" s="226"/>
      <c r="D9" s="226"/>
      <c r="E9" s="226"/>
      <c r="F9" s="226"/>
      <c r="G9" s="226"/>
    </row>
    <row r="10" spans="1:7" ht="15.75" x14ac:dyDescent="0.25">
      <c r="A10" s="227" t="s">
        <v>10</v>
      </c>
      <c r="B10" s="228"/>
      <c r="C10" s="228"/>
      <c r="D10" s="228"/>
      <c r="E10" s="228"/>
      <c r="F10" s="228"/>
      <c r="G10" s="229"/>
    </row>
    <row r="11" spans="1:7" ht="32.25" customHeight="1" x14ac:dyDescent="0.25">
      <c r="A11" s="169" t="s">
        <v>11</v>
      </c>
      <c r="B11" s="152"/>
      <c r="C11" s="152"/>
      <c r="D11" s="152"/>
      <c r="E11" s="152"/>
      <c r="F11" s="152"/>
      <c r="G11" s="178"/>
    </row>
    <row r="12" spans="1:7" x14ac:dyDescent="0.25">
      <c r="A12" s="59"/>
      <c r="B12" s="3"/>
      <c r="C12" s="3"/>
      <c r="D12" s="3"/>
      <c r="E12" s="3"/>
      <c r="F12" s="3"/>
      <c r="G12" s="60"/>
    </row>
    <row r="13" spans="1:7" x14ac:dyDescent="0.25">
      <c r="A13" s="230" t="s">
        <v>102</v>
      </c>
      <c r="B13" s="231"/>
      <c r="C13" s="231"/>
      <c r="D13" s="231"/>
      <c r="E13" s="231"/>
      <c r="F13" s="231"/>
      <c r="G13" s="232"/>
    </row>
    <row r="14" spans="1:7" x14ac:dyDescent="0.25">
      <c r="A14" s="230" t="s">
        <v>103</v>
      </c>
      <c r="B14" s="231"/>
      <c r="C14" s="231"/>
      <c r="D14" s="231"/>
      <c r="E14" s="231"/>
      <c r="F14" s="231"/>
      <c r="G14" s="232"/>
    </row>
    <row r="15" spans="1:7" x14ac:dyDescent="0.25">
      <c r="A15" s="225" t="s">
        <v>12</v>
      </c>
      <c r="B15" s="225"/>
      <c r="C15" s="225"/>
      <c r="D15" s="225"/>
      <c r="E15" s="225"/>
      <c r="F15" s="225"/>
      <c r="G15" s="225"/>
    </row>
    <row r="16" spans="1:7" x14ac:dyDescent="0.25">
      <c r="A16" s="226"/>
      <c r="B16" s="226"/>
      <c r="C16" s="226"/>
      <c r="D16" s="226"/>
      <c r="E16" s="226"/>
      <c r="F16" s="226"/>
      <c r="G16" s="226"/>
    </row>
    <row r="17" spans="1:7" x14ac:dyDescent="0.25">
      <c r="A17" s="169" t="s">
        <v>13</v>
      </c>
      <c r="B17" s="152"/>
      <c r="C17" s="152"/>
      <c r="D17" s="152"/>
      <c r="E17" s="152"/>
      <c r="F17" s="152"/>
      <c r="G17" s="178"/>
    </row>
    <row r="18" spans="1:7" x14ac:dyDescent="0.25">
      <c r="A18" s="69" t="s">
        <v>14</v>
      </c>
      <c r="B18" s="220" t="s">
        <v>15</v>
      </c>
      <c r="C18" s="221"/>
      <c r="D18" s="221"/>
      <c r="E18" s="222"/>
      <c r="F18" s="206">
        <f ca="1">NOW()</f>
        <v>45420.44917847222</v>
      </c>
      <c r="G18" s="233"/>
    </row>
    <row r="19" spans="1:7" x14ac:dyDescent="0.25">
      <c r="A19" s="69" t="s">
        <v>16</v>
      </c>
      <c r="B19" s="220" t="s">
        <v>17</v>
      </c>
      <c r="C19" s="221"/>
      <c r="D19" s="221"/>
      <c r="E19" s="222"/>
      <c r="F19" s="175" t="s">
        <v>18</v>
      </c>
      <c r="G19" s="177"/>
    </row>
    <row r="20" spans="1:7" ht="29.25" customHeight="1" x14ac:dyDescent="0.25">
      <c r="A20" s="66" t="s">
        <v>19</v>
      </c>
      <c r="B20" s="215" t="s">
        <v>20</v>
      </c>
      <c r="C20" s="216"/>
      <c r="D20" s="216"/>
      <c r="E20" s="217"/>
      <c r="F20" s="218" t="s">
        <v>223</v>
      </c>
      <c r="G20" s="219"/>
    </row>
    <row r="21" spans="1:7" ht="15.75" x14ac:dyDescent="0.25">
      <c r="A21" s="69" t="s">
        <v>21</v>
      </c>
      <c r="B21" s="220" t="s">
        <v>104</v>
      </c>
      <c r="C21" s="221"/>
      <c r="D21" s="221"/>
      <c r="E21" s="222"/>
      <c r="F21" s="223">
        <v>30</v>
      </c>
      <c r="G21" s="224"/>
    </row>
    <row r="22" spans="1:7" x14ac:dyDescent="0.25">
      <c r="A22" s="4"/>
      <c r="B22" s="4"/>
      <c r="C22" s="4"/>
      <c r="D22" s="4"/>
      <c r="E22" s="4"/>
      <c r="F22" s="4"/>
      <c r="G22" s="4"/>
    </row>
    <row r="23" spans="1:7" x14ac:dyDescent="0.25">
      <c r="A23" s="169" t="s">
        <v>22</v>
      </c>
      <c r="B23" s="152"/>
      <c r="C23" s="152"/>
      <c r="D23" s="152"/>
      <c r="E23" s="152"/>
      <c r="F23" s="152"/>
      <c r="G23" s="178"/>
    </row>
    <row r="24" spans="1:7" ht="50.25" customHeight="1" x14ac:dyDescent="0.25">
      <c r="A24" s="234" t="s">
        <v>23</v>
      </c>
      <c r="B24" s="234"/>
      <c r="C24" s="234"/>
      <c r="D24" s="234"/>
      <c r="E24" s="59" t="s">
        <v>24</v>
      </c>
      <c r="F24" s="235" t="s">
        <v>25</v>
      </c>
      <c r="G24" s="236"/>
    </row>
    <row r="25" spans="1:7" ht="15.75" x14ac:dyDescent="0.25">
      <c r="A25" s="238" t="s">
        <v>212</v>
      </c>
      <c r="B25" s="239"/>
      <c r="C25" s="239"/>
      <c r="D25" s="240"/>
      <c r="E25" s="59" t="s">
        <v>26</v>
      </c>
      <c r="F25" s="241">
        <v>1</v>
      </c>
      <c r="G25" s="241"/>
    </row>
    <row r="26" spans="1:7" ht="28.5" customHeight="1" x14ac:dyDescent="0.25">
      <c r="A26" s="147" t="s">
        <v>105</v>
      </c>
      <c r="B26" s="148"/>
      <c r="C26" s="148"/>
      <c r="D26" s="148"/>
      <c r="E26" s="148"/>
      <c r="F26" s="148"/>
      <c r="G26" s="149"/>
    </row>
    <row r="27" spans="1:7" ht="33.75" customHeight="1" x14ac:dyDescent="0.25">
      <c r="A27" s="147" t="s">
        <v>106</v>
      </c>
      <c r="B27" s="148"/>
      <c r="C27" s="148"/>
      <c r="D27" s="148"/>
      <c r="E27" s="148"/>
      <c r="F27" s="148"/>
      <c r="G27" s="149"/>
    </row>
    <row r="28" spans="1:7" x14ac:dyDescent="0.25">
      <c r="A28" s="5"/>
      <c r="B28" s="6"/>
      <c r="C28" s="6"/>
      <c r="D28" s="6"/>
      <c r="E28" s="6"/>
      <c r="F28" s="6"/>
      <c r="G28" s="7"/>
    </row>
    <row r="29" spans="1:7" x14ac:dyDescent="0.25">
      <c r="A29" s="242" t="s">
        <v>27</v>
      </c>
      <c r="B29" s="242"/>
      <c r="C29" s="242"/>
      <c r="D29" s="242"/>
      <c r="E29" s="242"/>
      <c r="F29" s="242"/>
      <c r="G29" s="242"/>
    </row>
    <row r="30" spans="1:7" x14ac:dyDescent="0.25">
      <c r="A30" s="237" t="s">
        <v>28</v>
      </c>
      <c r="B30" s="237"/>
      <c r="C30" s="237"/>
      <c r="D30" s="237"/>
      <c r="E30" s="237"/>
      <c r="F30" s="237"/>
      <c r="G30" s="237"/>
    </row>
    <row r="31" spans="1:7" x14ac:dyDescent="0.25">
      <c r="A31" s="237" t="s">
        <v>29</v>
      </c>
      <c r="B31" s="237"/>
      <c r="C31" s="237"/>
      <c r="D31" s="237"/>
      <c r="E31" s="237"/>
      <c r="F31" s="237"/>
      <c r="G31" s="237"/>
    </row>
    <row r="32" spans="1:7" x14ac:dyDescent="0.25">
      <c r="A32" s="69">
        <v>1</v>
      </c>
      <c r="B32" s="166" t="s">
        <v>30</v>
      </c>
      <c r="C32" s="167"/>
      <c r="D32" s="167"/>
      <c r="E32" s="168"/>
      <c r="F32" s="153" t="str">
        <f>A25</f>
        <v>Motorista Executivo I</v>
      </c>
      <c r="G32" s="155"/>
    </row>
    <row r="33" spans="1:7" x14ac:dyDescent="0.25">
      <c r="A33" s="69">
        <v>2</v>
      </c>
      <c r="B33" s="166" t="s">
        <v>31</v>
      </c>
      <c r="C33" s="167"/>
      <c r="D33" s="167"/>
      <c r="E33" s="168"/>
      <c r="F33" s="153" t="s">
        <v>204</v>
      </c>
      <c r="G33" s="155"/>
    </row>
    <row r="34" spans="1:7" x14ac:dyDescent="0.25">
      <c r="A34" s="66">
        <v>3</v>
      </c>
      <c r="B34" s="208" t="s">
        <v>224</v>
      </c>
      <c r="C34" s="209"/>
      <c r="D34" s="209"/>
      <c r="E34" s="210"/>
      <c r="F34" s="211">
        <v>3143.76</v>
      </c>
      <c r="G34" s="212"/>
    </row>
    <row r="35" spans="1:7" x14ac:dyDescent="0.25">
      <c r="A35" s="69">
        <v>4</v>
      </c>
      <c r="B35" s="166" t="s">
        <v>32</v>
      </c>
      <c r="C35" s="167"/>
      <c r="D35" s="167"/>
      <c r="E35" s="168"/>
      <c r="F35" s="153" t="str">
        <f>A25</f>
        <v>Motorista Executivo I</v>
      </c>
      <c r="G35" s="155"/>
    </row>
    <row r="36" spans="1:7" ht="29.25" customHeight="1" x14ac:dyDescent="0.25">
      <c r="A36" s="69">
        <v>5</v>
      </c>
      <c r="B36" s="159" t="s">
        <v>225</v>
      </c>
      <c r="C36" s="159"/>
      <c r="D36" s="159"/>
      <c r="E36" s="159"/>
      <c r="F36" s="206" t="s">
        <v>99</v>
      </c>
      <c r="G36" s="177"/>
    </row>
    <row r="37" spans="1:7" x14ac:dyDescent="0.25">
      <c r="A37" s="175"/>
      <c r="B37" s="176"/>
      <c r="C37" s="176"/>
      <c r="D37" s="176"/>
      <c r="E37" s="176"/>
      <c r="F37" s="176"/>
      <c r="G37" s="177"/>
    </row>
    <row r="38" spans="1:7" x14ac:dyDescent="0.25">
      <c r="A38" s="8"/>
      <c r="B38" s="207" t="s">
        <v>107</v>
      </c>
      <c r="C38" s="207"/>
      <c r="D38" s="207"/>
      <c r="E38" s="207"/>
      <c r="F38" s="9"/>
      <c r="G38" s="10"/>
    </row>
    <row r="39" spans="1:7" x14ac:dyDescent="0.25">
      <c r="A39" s="69">
        <v>1</v>
      </c>
      <c r="B39" s="153" t="s">
        <v>33</v>
      </c>
      <c r="C39" s="154"/>
      <c r="D39" s="154"/>
      <c r="E39" s="155"/>
      <c r="F39" s="69" t="s">
        <v>34</v>
      </c>
      <c r="G39" s="69" t="s">
        <v>6</v>
      </c>
    </row>
    <row r="40" spans="1:7" x14ac:dyDescent="0.25">
      <c r="A40" s="66" t="s">
        <v>14</v>
      </c>
      <c r="B40" s="172" t="s">
        <v>35</v>
      </c>
      <c r="C40" s="167"/>
      <c r="D40" s="167"/>
      <c r="E40" s="168"/>
      <c r="F40" s="11">
        <v>1</v>
      </c>
      <c r="G40" s="12">
        <f>F34</f>
        <v>3143.76</v>
      </c>
    </row>
    <row r="41" spans="1:7" x14ac:dyDescent="0.25">
      <c r="A41" s="69" t="s">
        <v>16</v>
      </c>
      <c r="B41" s="166" t="s">
        <v>108</v>
      </c>
      <c r="C41" s="167"/>
      <c r="D41" s="167"/>
      <c r="E41" s="168"/>
      <c r="F41" s="13">
        <v>0</v>
      </c>
      <c r="G41" s="14">
        <f>G40*F41</f>
        <v>0</v>
      </c>
    </row>
    <row r="42" spans="1:7" x14ac:dyDescent="0.25">
      <c r="A42" s="69" t="s">
        <v>19</v>
      </c>
      <c r="B42" s="166" t="s">
        <v>36</v>
      </c>
      <c r="C42" s="167"/>
      <c r="D42" s="167"/>
      <c r="E42" s="168"/>
      <c r="F42" s="15">
        <v>0</v>
      </c>
      <c r="G42" s="16">
        <f>G41*F42</f>
        <v>0</v>
      </c>
    </row>
    <row r="43" spans="1:7" x14ac:dyDescent="0.25">
      <c r="A43" s="69" t="s">
        <v>21</v>
      </c>
      <c r="B43" s="166" t="s">
        <v>37</v>
      </c>
      <c r="C43" s="167"/>
      <c r="D43" s="167"/>
      <c r="E43" s="168"/>
      <c r="F43" s="15">
        <v>0</v>
      </c>
      <c r="G43" s="16">
        <f>G42*F43</f>
        <v>0</v>
      </c>
    </row>
    <row r="44" spans="1:7" x14ac:dyDescent="0.25">
      <c r="A44" s="69" t="s">
        <v>38</v>
      </c>
      <c r="B44" s="166" t="s">
        <v>39</v>
      </c>
      <c r="C44" s="167"/>
      <c r="D44" s="167"/>
      <c r="E44" s="168"/>
      <c r="F44" s="15">
        <v>0</v>
      </c>
      <c r="G44" s="16">
        <f>G43*F44</f>
        <v>0</v>
      </c>
    </row>
    <row r="45" spans="1:7" x14ac:dyDescent="0.25">
      <c r="A45" s="69" t="s">
        <v>40</v>
      </c>
      <c r="B45" s="166" t="s">
        <v>41</v>
      </c>
      <c r="C45" s="167"/>
      <c r="D45" s="167"/>
      <c r="E45" s="168"/>
      <c r="F45" s="15"/>
      <c r="G45" s="16"/>
    </row>
    <row r="46" spans="1:7" x14ac:dyDescent="0.25">
      <c r="A46" s="17"/>
      <c r="B46" s="162" t="s">
        <v>42</v>
      </c>
      <c r="C46" s="163"/>
      <c r="D46" s="163"/>
      <c r="E46" s="163"/>
      <c r="F46" s="18">
        <f>SUM(F40:F45)</f>
        <v>1</v>
      </c>
      <c r="G46" s="12">
        <f>SUM(G40:G45)</f>
        <v>3143.76</v>
      </c>
    </row>
    <row r="47" spans="1:7" x14ac:dyDescent="0.25">
      <c r="A47" s="203" t="s">
        <v>109</v>
      </c>
      <c r="B47" s="204"/>
      <c r="C47" s="204"/>
      <c r="D47" s="204"/>
      <c r="E47" s="204"/>
      <c r="F47" s="204"/>
      <c r="G47" s="205"/>
    </row>
    <row r="48" spans="1:7" x14ac:dyDescent="0.25">
      <c r="A48" s="175"/>
      <c r="B48" s="176"/>
      <c r="C48" s="176"/>
      <c r="D48" s="176"/>
      <c r="E48" s="176"/>
      <c r="F48" s="176"/>
      <c r="G48" s="177"/>
    </row>
    <row r="49" spans="1:7" x14ac:dyDescent="0.25">
      <c r="A49" s="58"/>
      <c r="B49" s="169" t="s">
        <v>43</v>
      </c>
      <c r="C49" s="152"/>
      <c r="D49" s="152"/>
      <c r="E49" s="152"/>
      <c r="F49" s="19"/>
      <c r="G49" s="19"/>
    </row>
    <row r="50" spans="1:7" x14ac:dyDescent="0.25">
      <c r="A50" s="172" t="s">
        <v>44</v>
      </c>
      <c r="B50" s="173"/>
      <c r="C50" s="173"/>
      <c r="D50" s="173"/>
      <c r="E50" s="173"/>
      <c r="F50" s="173"/>
      <c r="G50" s="174"/>
    </row>
    <row r="51" spans="1:7" x14ac:dyDescent="0.25">
      <c r="A51" s="69" t="s">
        <v>45</v>
      </c>
      <c r="B51" s="172" t="s">
        <v>46</v>
      </c>
      <c r="C51" s="173"/>
      <c r="D51" s="173"/>
      <c r="E51" s="173"/>
      <c r="F51" s="174"/>
      <c r="G51" s="69" t="s">
        <v>6</v>
      </c>
    </row>
    <row r="52" spans="1:7" x14ac:dyDescent="0.25">
      <c r="A52" s="69" t="s">
        <v>14</v>
      </c>
      <c r="B52" s="166" t="s">
        <v>47</v>
      </c>
      <c r="C52" s="167"/>
      <c r="D52" s="167"/>
      <c r="E52" s="168"/>
      <c r="F52" s="20">
        <v>8.3299999999999999E-2</v>
      </c>
      <c r="G52" s="16">
        <f>F52*G46</f>
        <v>261.87520800000004</v>
      </c>
    </row>
    <row r="53" spans="1:7" x14ac:dyDescent="0.25">
      <c r="A53" s="69" t="s">
        <v>16</v>
      </c>
      <c r="B53" s="166" t="s">
        <v>48</v>
      </c>
      <c r="C53" s="167"/>
      <c r="D53" s="167"/>
      <c r="E53" s="168"/>
      <c r="F53" s="20">
        <v>0.121</v>
      </c>
      <c r="G53" s="16">
        <f>F53*G46</f>
        <v>380.39496000000003</v>
      </c>
    </row>
    <row r="54" spans="1:7" x14ac:dyDescent="0.25">
      <c r="A54" s="58"/>
      <c r="B54" s="162" t="s">
        <v>8</v>
      </c>
      <c r="C54" s="163"/>
      <c r="D54" s="163"/>
      <c r="E54" s="164"/>
      <c r="F54" s="21">
        <f>SUM(F52:F53)</f>
        <v>0.20429999999999998</v>
      </c>
      <c r="G54" s="12">
        <f>SUM(G52:G53)</f>
        <v>642.27016800000001</v>
      </c>
    </row>
    <row r="55" spans="1:7" ht="28.5" customHeight="1" x14ac:dyDescent="0.25">
      <c r="A55" s="147" t="s">
        <v>110</v>
      </c>
      <c r="B55" s="148"/>
      <c r="C55" s="148"/>
      <c r="D55" s="148"/>
      <c r="E55" s="148"/>
      <c r="F55" s="148"/>
      <c r="G55" s="149"/>
    </row>
    <row r="56" spans="1:7" ht="30" customHeight="1" x14ac:dyDescent="0.25">
      <c r="A56" s="147" t="s">
        <v>111</v>
      </c>
      <c r="B56" s="148"/>
      <c r="C56" s="148"/>
      <c r="D56" s="148"/>
      <c r="E56" s="148"/>
      <c r="F56" s="148"/>
      <c r="G56" s="149"/>
    </row>
    <row r="57" spans="1:7" ht="42.75" customHeight="1" x14ac:dyDescent="0.25">
      <c r="A57" s="198" t="s">
        <v>229</v>
      </c>
      <c r="B57" s="198"/>
      <c r="C57" s="198"/>
      <c r="D57" s="198"/>
      <c r="E57" s="198"/>
      <c r="F57" s="198"/>
      <c r="G57" s="199"/>
    </row>
    <row r="58" spans="1:7" x14ac:dyDescent="0.25">
      <c r="A58" s="61"/>
      <c r="B58" s="62"/>
      <c r="C58" s="62"/>
      <c r="D58" s="62"/>
      <c r="E58" s="62"/>
      <c r="F58" s="62"/>
      <c r="G58" s="63"/>
    </row>
    <row r="59" spans="1:7" ht="31.5" customHeight="1" x14ac:dyDescent="0.25">
      <c r="A59" s="172" t="s">
        <v>49</v>
      </c>
      <c r="B59" s="173"/>
      <c r="C59" s="173"/>
      <c r="D59" s="173"/>
      <c r="E59" s="173"/>
      <c r="F59" s="173"/>
      <c r="G59" s="174"/>
    </row>
    <row r="60" spans="1:7" ht="24" x14ac:dyDescent="0.25">
      <c r="A60" s="69" t="s">
        <v>50</v>
      </c>
      <c r="B60" s="172" t="s">
        <v>51</v>
      </c>
      <c r="C60" s="167"/>
      <c r="D60" s="167"/>
      <c r="E60" s="168"/>
      <c r="F60" s="70" t="s">
        <v>52</v>
      </c>
      <c r="G60" s="69" t="s">
        <v>6</v>
      </c>
    </row>
    <row r="61" spans="1:7" x14ac:dyDescent="0.25">
      <c r="A61" s="69" t="s">
        <v>14</v>
      </c>
      <c r="B61" s="166" t="s">
        <v>53</v>
      </c>
      <c r="C61" s="167"/>
      <c r="D61" s="167"/>
      <c r="E61" s="168"/>
      <c r="F61" s="22">
        <v>0.2</v>
      </c>
      <c r="G61" s="23">
        <f>F61*(G46+G54+G127)</f>
        <v>777.1724026666667</v>
      </c>
    </row>
    <row r="62" spans="1:7" x14ac:dyDescent="0.25">
      <c r="A62" s="69" t="s">
        <v>16</v>
      </c>
      <c r="B62" s="166" t="s">
        <v>54</v>
      </c>
      <c r="C62" s="167"/>
      <c r="D62" s="167"/>
      <c r="E62" s="168"/>
      <c r="F62" s="22">
        <v>2.5000000000000001E-2</v>
      </c>
      <c r="G62" s="23">
        <f>F62*(G46+G54+G127)</f>
        <v>97.146550333333337</v>
      </c>
    </row>
    <row r="63" spans="1:7" ht="15" customHeight="1" x14ac:dyDescent="0.25">
      <c r="A63" s="87" t="s">
        <v>19</v>
      </c>
      <c r="B63" s="200" t="s">
        <v>55</v>
      </c>
      <c r="C63" s="201"/>
      <c r="D63" s="201"/>
      <c r="E63" s="202"/>
      <c r="F63" s="88">
        <v>0.03</v>
      </c>
      <c r="G63" s="89">
        <f>F63*(G46+G54+G127)</f>
        <v>116.5758604</v>
      </c>
    </row>
    <row r="64" spans="1:7" x14ac:dyDescent="0.25">
      <c r="A64" s="69" t="s">
        <v>21</v>
      </c>
      <c r="B64" s="166" t="s">
        <v>56</v>
      </c>
      <c r="C64" s="167"/>
      <c r="D64" s="167"/>
      <c r="E64" s="168"/>
      <c r="F64" s="22">
        <v>1.4999999999999999E-2</v>
      </c>
      <c r="G64" s="23">
        <f>F64*(G46+G54+G127)</f>
        <v>58.287930199999998</v>
      </c>
    </row>
    <row r="65" spans="1:7" x14ac:dyDescent="0.25">
      <c r="A65" s="69" t="s">
        <v>38</v>
      </c>
      <c r="B65" s="166" t="s">
        <v>57</v>
      </c>
      <c r="C65" s="167"/>
      <c r="D65" s="167"/>
      <c r="E65" s="168"/>
      <c r="F65" s="22">
        <v>0.01</v>
      </c>
      <c r="G65" s="23">
        <f>F65*(G46+G54+G127)</f>
        <v>38.858620133333332</v>
      </c>
    </row>
    <row r="66" spans="1:7" x14ac:dyDescent="0.25">
      <c r="A66" s="69" t="s">
        <v>40</v>
      </c>
      <c r="B66" s="166" t="s">
        <v>58</v>
      </c>
      <c r="C66" s="167"/>
      <c r="D66" s="167"/>
      <c r="E66" s="168"/>
      <c r="F66" s="22">
        <v>6.0000000000000001E-3</v>
      </c>
      <c r="G66" s="23">
        <f>F66*(G46+G54+G127)</f>
        <v>23.31517208</v>
      </c>
    </row>
    <row r="67" spans="1:7" x14ac:dyDescent="0.25">
      <c r="A67" s="69" t="s">
        <v>59</v>
      </c>
      <c r="B67" s="166" t="s">
        <v>60</v>
      </c>
      <c r="C67" s="167"/>
      <c r="D67" s="167"/>
      <c r="E67" s="168"/>
      <c r="F67" s="22">
        <v>2E-3</v>
      </c>
      <c r="G67" s="23">
        <f>F67*(G46+G54+G127)</f>
        <v>7.771724026666667</v>
      </c>
    </row>
    <row r="68" spans="1:7" x14ac:dyDescent="0.25">
      <c r="A68" s="69" t="s">
        <v>61</v>
      </c>
      <c r="B68" s="166" t="s">
        <v>62</v>
      </c>
      <c r="C68" s="167"/>
      <c r="D68" s="167"/>
      <c r="E68" s="168"/>
      <c r="F68" s="22">
        <v>0.08</v>
      </c>
      <c r="G68" s="23">
        <f>F68*(G46+G54+G127)</f>
        <v>310.86896106666666</v>
      </c>
    </row>
    <row r="69" spans="1:7" x14ac:dyDescent="0.25">
      <c r="A69" s="58"/>
      <c r="B69" s="162" t="s">
        <v>8</v>
      </c>
      <c r="C69" s="163"/>
      <c r="D69" s="163"/>
      <c r="E69" s="164"/>
      <c r="F69" s="21">
        <f>SUM(F61:F68)</f>
        <v>0.36800000000000005</v>
      </c>
      <c r="G69" s="24">
        <f>SUM(G61:G68)</f>
        <v>1429.9972209066664</v>
      </c>
    </row>
    <row r="70" spans="1:7" x14ac:dyDescent="0.25">
      <c r="A70" s="147" t="s">
        <v>112</v>
      </c>
      <c r="B70" s="148"/>
      <c r="C70" s="148"/>
      <c r="D70" s="148"/>
      <c r="E70" s="148"/>
      <c r="F70" s="148"/>
      <c r="G70" s="149"/>
    </row>
    <row r="71" spans="1:7" ht="28.5" customHeight="1" x14ac:dyDescent="0.25">
      <c r="A71" s="147" t="s">
        <v>113</v>
      </c>
      <c r="B71" s="148"/>
      <c r="C71" s="148"/>
      <c r="D71" s="148"/>
      <c r="E71" s="148"/>
      <c r="F71" s="148"/>
      <c r="G71" s="149"/>
    </row>
    <row r="72" spans="1:7" ht="22.5" customHeight="1" x14ac:dyDescent="0.25">
      <c r="A72" s="194" t="s">
        <v>63</v>
      </c>
      <c r="B72" s="195"/>
      <c r="C72" s="195"/>
      <c r="D72" s="195"/>
      <c r="E72" s="195"/>
      <c r="F72" s="195"/>
      <c r="G72" s="196"/>
    </row>
    <row r="73" spans="1:7" x14ac:dyDescent="0.25">
      <c r="A73" s="64"/>
      <c r="B73" s="68"/>
      <c r="C73" s="62"/>
      <c r="D73" s="62"/>
      <c r="E73" s="62"/>
      <c r="F73" s="25"/>
      <c r="G73" s="65"/>
    </row>
    <row r="74" spans="1:7" x14ac:dyDescent="0.25">
      <c r="A74" s="172" t="s">
        <v>64</v>
      </c>
      <c r="B74" s="173"/>
      <c r="C74" s="173"/>
      <c r="D74" s="173"/>
      <c r="E74" s="173"/>
      <c r="F74" s="173"/>
      <c r="G74" s="174"/>
    </row>
    <row r="75" spans="1:7" x14ac:dyDescent="0.25">
      <c r="A75" s="69" t="s">
        <v>65</v>
      </c>
      <c r="B75" s="170" t="s">
        <v>66</v>
      </c>
      <c r="C75" s="170"/>
      <c r="D75" s="170"/>
      <c r="E75" s="170"/>
      <c r="F75" s="170"/>
      <c r="G75" s="69" t="s">
        <v>6</v>
      </c>
    </row>
    <row r="76" spans="1:7" ht="41.25" customHeight="1" x14ac:dyDescent="0.25">
      <c r="A76" s="69" t="s">
        <v>14</v>
      </c>
      <c r="B76" s="197" t="s">
        <v>244</v>
      </c>
      <c r="C76" s="197"/>
      <c r="D76" s="197"/>
      <c r="E76" s="197"/>
      <c r="F76" s="197"/>
      <c r="G76" s="16">
        <f>((5.5)*2*21)-6%*G40</f>
        <v>42.37439999999998</v>
      </c>
    </row>
    <row r="77" spans="1:7" ht="30" customHeight="1" x14ac:dyDescent="0.25">
      <c r="A77" s="69" t="s">
        <v>16</v>
      </c>
      <c r="B77" s="159" t="s">
        <v>243</v>
      </c>
      <c r="C77" s="159"/>
      <c r="D77" s="159"/>
      <c r="E77" s="159"/>
      <c r="F77" s="159"/>
      <c r="G77" s="16">
        <f>44.43*21</f>
        <v>933.03</v>
      </c>
    </row>
    <row r="78" spans="1:7" x14ac:dyDescent="0.25">
      <c r="A78" s="69" t="s">
        <v>19</v>
      </c>
      <c r="B78" s="193" t="s">
        <v>246</v>
      </c>
      <c r="C78" s="159"/>
      <c r="D78" s="159"/>
      <c r="E78" s="159"/>
      <c r="F78" s="159"/>
      <c r="G78" s="16">
        <v>241</v>
      </c>
    </row>
    <row r="79" spans="1:7" x14ac:dyDescent="0.25">
      <c r="A79" s="69" t="s">
        <v>21</v>
      </c>
      <c r="B79" s="193" t="s">
        <v>245</v>
      </c>
      <c r="C79" s="193"/>
      <c r="D79" s="193"/>
      <c r="E79" s="193"/>
      <c r="F79" s="193"/>
      <c r="G79" s="16">
        <v>37.47</v>
      </c>
    </row>
    <row r="80" spans="1:7" x14ac:dyDescent="0.25">
      <c r="A80" s="69" t="s">
        <v>38</v>
      </c>
      <c r="B80" s="193" t="s">
        <v>67</v>
      </c>
      <c r="C80" s="193"/>
      <c r="D80" s="193"/>
      <c r="E80" s="193"/>
      <c r="F80" s="193"/>
      <c r="G80" s="16">
        <v>0</v>
      </c>
    </row>
    <row r="81" spans="1:7" x14ac:dyDescent="0.25">
      <c r="A81" s="69" t="s">
        <v>40</v>
      </c>
      <c r="B81" s="193" t="s">
        <v>195</v>
      </c>
      <c r="C81" s="193"/>
      <c r="D81" s="193"/>
      <c r="E81" s="193"/>
      <c r="F81" s="193"/>
      <c r="G81" s="16">
        <v>2.75</v>
      </c>
    </row>
    <row r="82" spans="1:7" x14ac:dyDescent="0.25">
      <c r="A82" s="17"/>
      <c r="B82" s="162" t="s">
        <v>8</v>
      </c>
      <c r="C82" s="163"/>
      <c r="D82" s="163"/>
      <c r="E82" s="163"/>
      <c r="F82" s="164"/>
      <c r="G82" s="12">
        <f>SUM(G76:G81)</f>
        <v>1256.6243999999999</v>
      </c>
    </row>
    <row r="83" spans="1:7" ht="21" customHeight="1" x14ac:dyDescent="0.25">
      <c r="A83" s="147" t="s">
        <v>114</v>
      </c>
      <c r="B83" s="148"/>
      <c r="C83" s="148"/>
      <c r="D83" s="148"/>
      <c r="E83" s="148"/>
      <c r="F83" s="148"/>
      <c r="G83" s="149"/>
    </row>
    <row r="84" spans="1:7" ht="27" customHeight="1" x14ac:dyDescent="0.25">
      <c r="A84" s="147" t="s">
        <v>115</v>
      </c>
      <c r="B84" s="148"/>
      <c r="C84" s="148"/>
      <c r="D84" s="148"/>
      <c r="E84" s="148"/>
      <c r="F84" s="148"/>
      <c r="G84" s="149"/>
    </row>
    <row r="85" spans="1:7" x14ac:dyDescent="0.25">
      <c r="A85" s="61"/>
      <c r="B85" s="62"/>
      <c r="C85" s="62"/>
      <c r="D85" s="62"/>
      <c r="E85" s="62"/>
      <c r="F85" s="62"/>
      <c r="G85" s="63"/>
    </row>
    <row r="86" spans="1:7" ht="33.75" customHeight="1" x14ac:dyDescent="0.25">
      <c r="A86" s="58"/>
      <c r="B86" s="192" t="s">
        <v>68</v>
      </c>
      <c r="C86" s="192"/>
      <c r="D86" s="192"/>
      <c r="E86" s="192"/>
      <c r="F86" s="192"/>
      <c r="G86" s="26"/>
    </row>
    <row r="87" spans="1:7" x14ac:dyDescent="0.25">
      <c r="A87" s="69">
        <v>2</v>
      </c>
      <c r="B87" s="170" t="s">
        <v>69</v>
      </c>
      <c r="C87" s="170"/>
      <c r="D87" s="170"/>
      <c r="E87" s="170"/>
      <c r="F87" s="170"/>
      <c r="G87" s="69" t="s">
        <v>6</v>
      </c>
    </row>
    <row r="88" spans="1:7" x14ac:dyDescent="0.25">
      <c r="A88" s="69" t="s">
        <v>45</v>
      </c>
      <c r="B88" s="159" t="s">
        <v>70</v>
      </c>
      <c r="C88" s="159"/>
      <c r="D88" s="159"/>
      <c r="E88" s="159"/>
      <c r="F88" s="159"/>
      <c r="G88" s="16">
        <f>G54</f>
        <v>642.27016800000001</v>
      </c>
    </row>
    <row r="89" spans="1:7" x14ac:dyDescent="0.25">
      <c r="A89" s="69" t="s">
        <v>50</v>
      </c>
      <c r="B89" s="159" t="s">
        <v>51</v>
      </c>
      <c r="C89" s="159"/>
      <c r="D89" s="159"/>
      <c r="E89" s="159"/>
      <c r="F89" s="159"/>
      <c r="G89" s="16">
        <f>G69</f>
        <v>1429.9972209066664</v>
      </c>
    </row>
    <row r="90" spans="1:7" x14ac:dyDescent="0.25">
      <c r="A90" s="69" t="s">
        <v>65</v>
      </c>
      <c r="B90" s="159" t="s">
        <v>66</v>
      </c>
      <c r="C90" s="159"/>
      <c r="D90" s="159"/>
      <c r="E90" s="159"/>
      <c r="F90" s="159"/>
      <c r="G90" s="16">
        <f>G82</f>
        <v>1256.6243999999999</v>
      </c>
    </row>
    <row r="91" spans="1:7" x14ac:dyDescent="0.25">
      <c r="A91" s="27"/>
      <c r="B91" s="186" t="s">
        <v>8</v>
      </c>
      <c r="C91" s="187"/>
      <c r="D91" s="187"/>
      <c r="E91" s="187"/>
      <c r="F91" s="188"/>
      <c r="G91" s="12">
        <f>SUM(G88:G90)</f>
        <v>3328.8917889066661</v>
      </c>
    </row>
    <row r="92" spans="1:7" x14ac:dyDescent="0.25">
      <c r="A92" s="189"/>
      <c r="B92" s="190"/>
      <c r="C92" s="190"/>
      <c r="D92" s="190"/>
      <c r="E92" s="190"/>
      <c r="F92" s="190"/>
      <c r="G92" s="191"/>
    </row>
    <row r="93" spans="1:7" x14ac:dyDescent="0.25">
      <c r="A93" s="28"/>
      <c r="B93" s="169" t="s">
        <v>71</v>
      </c>
      <c r="C93" s="152"/>
      <c r="D93" s="152"/>
      <c r="E93" s="178"/>
      <c r="F93" s="19"/>
      <c r="G93" s="19"/>
    </row>
    <row r="94" spans="1:7" ht="24" x14ac:dyDescent="0.25">
      <c r="A94" s="69">
        <v>3</v>
      </c>
      <c r="B94" s="153" t="s">
        <v>72</v>
      </c>
      <c r="C94" s="154"/>
      <c r="D94" s="154"/>
      <c r="E94" s="155"/>
      <c r="F94" s="70" t="s">
        <v>52</v>
      </c>
      <c r="G94" s="69" t="s">
        <v>6</v>
      </c>
    </row>
    <row r="95" spans="1:7" ht="37.5" customHeight="1" x14ac:dyDescent="0.25">
      <c r="A95" s="59" t="s">
        <v>14</v>
      </c>
      <c r="B95" s="166" t="s">
        <v>248</v>
      </c>
      <c r="C95" s="167"/>
      <c r="D95" s="167"/>
      <c r="E95" s="168"/>
      <c r="F95" s="29">
        <f>5.5%*1*1/12</f>
        <v>4.5833333333333334E-3</v>
      </c>
      <c r="G95" s="16">
        <f>F95*(G46+G54)</f>
        <v>17.35263827</v>
      </c>
    </row>
    <row r="96" spans="1:7" ht="21" customHeight="1" x14ac:dyDescent="0.25">
      <c r="A96" s="59" t="s">
        <v>16</v>
      </c>
      <c r="B96" s="166" t="s">
        <v>249</v>
      </c>
      <c r="C96" s="167"/>
      <c r="D96" s="167"/>
      <c r="E96" s="168"/>
      <c r="F96" s="136">
        <f>F68*F95</f>
        <v>3.6666666666666667E-4</v>
      </c>
      <c r="G96" s="16">
        <f>F96*(G46+G54)</f>
        <v>1.3882110616000001</v>
      </c>
    </row>
    <row r="97" spans="1:7" ht="49.5" customHeight="1" x14ac:dyDescent="0.25">
      <c r="A97" s="69" t="s">
        <v>19</v>
      </c>
      <c r="B97" s="166" t="s">
        <v>250</v>
      </c>
      <c r="C97" s="167"/>
      <c r="D97" s="167"/>
      <c r="E97" s="168"/>
      <c r="F97" s="29">
        <f xml:space="preserve"> (40%)*F95</f>
        <v>1.8333333333333335E-3</v>
      </c>
      <c r="G97" s="16">
        <f>F97*(G46+G54)</f>
        <v>6.941055308000001</v>
      </c>
    </row>
    <row r="98" spans="1:7" ht="48" customHeight="1" x14ac:dyDescent="0.25">
      <c r="A98" s="69" t="s">
        <v>21</v>
      </c>
      <c r="B98" s="166" t="s">
        <v>251</v>
      </c>
      <c r="C98" s="167"/>
      <c r="D98" s="167"/>
      <c r="E98" s="168"/>
      <c r="F98" s="29">
        <f>(7/30)/12</f>
        <v>1.9444444444444445E-2</v>
      </c>
      <c r="G98" s="16">
        <f>F98*(G46+G54)</f>
        <v>73.617253266666665</v>
      </c>
    </row>
    <row r="99" spans="1:7" ht="39" customHeight="1" x14ac:dyDescent="0.25">
      <c r="A99" s="66" t="s">
        <v>38</v>
      </c>
      <c r="B99" s="166" t="s">
        <v>252</v>
      </c>
      <c r="C99" s="167"/>
      <c r="D99" s="167"/>
      <c r="E99" s="168"/>
      <c r="F99" s="29">
        <f>F69*F98</f>
        <v>7.1555555555555565E-3</v>
      </c>
      <c r="G99" s="16">
        <f>F99*(G46+G54)</f>
        <v>27.091149202133337</v>
      </c>
    </row>
    <row r="100" spans="1:7" ht="29.25" customHeight="1" x14ac:dyDescent="0.25">
      <c r="A100" s="69" t="s">
        <v>40</v>
      </c>
      <c r="B100" s="172" t="s">
        <v>247</v>
      </c>
      <c r="C100" s="167"/>
      <c r="D100" s="167"/>
      <c r="E100" s="168"/>
      <c r="F100" s="29">
        <f>(1+(1/12)+(1/3/12))*0.08*0.4</f>
        <v>3.5555555555555556E-2</v>
      </c>
      <c r="G100" s="16">
        <f>F100*(G46+G54)</f>
        <v>134.61440597333333</v>
      </c>
    </row>
    <row r="101" spans="1:7" x14ac:dyDescent="0.25">
      <c r="A101" s="31"/>
      <c r="B101" s="183" t="s">
        <v>8</v>
      </c>
      <c r="C101" s="184"/>
      <c r="D101" s="184"/>
      <c r="E101" s="185"/>
      <c r="F101" s="32">
        <f>SUM(F95:F100)</f>
        <v>6.8938888888888883E-2</v>
      </c>
      <c r="G101" s="12">
        <f>SUM(G95:G100)</f>
        <v>261.00471308173331</v>
      </c>
    </row>
    <row r="102" spans="1:7" x14ac:dyDescent="0.25">
      <c r="A102" s="33"/>
      <c r="B102" s="34"/>
      <c r="C102" s="34"/>
      <c r="D102" s="34"/>
      <c r="E102" s="34"/>
      <c r="F102" s="34"/>
      <c r="G102" s="35"/>
    </row>
    <row r="103" spans="1:7" x14ac:dyDescent="0.25">
      <c r="A103" s="58"/>
      <c r="B103" s="169" t="s">
        <v>73</v>
      </c>
      <c r="C103" s="152"/>
      <c r="D103" s="152"/>
      <c r="E103" s="178"/>
      <c r="F103" s="19"/>
      <c r="G103" s="19"/>
    </row>
    <row r="104" spans="1:7" ht="37.5" customHeight="1" x14ac:dyDescent="0.25">
      <c r="A104" s="179" t="s">
        <v>116</v>
      </c>
      <c r="B104" s="148"/>
      <c r="C104" s="148"/>
      <c r="D104" s="148"/>
      <c r="E104" s="148"/>
      <c r="F104" s="148"/>
      <c r="G104" s="149"/>
    </row>
    <row r="105" spans="1:7" x14ac:dyDescent="0.25">
      <c r="A105" s="175"/>
      <c r="B105" s="176"/>
      <c r="C105" s="176"/>
      <c r="D105" s="176"/>
      <c r="E105" s="176"/>
      <c r="F105" s="176"/>
      <c r="G105" s="177"/>
    </row>
    <row r="106" spans="1:7" x14ac:dyDescent="0.25">
      <c r="A106" s="180" t="s">
        <v>74</v>
      </c>
      <c r="B106" s="181"/>
      <c r="C106" s="181"/>
      <c r="D106" s="181"/>
      <c r="E106" s="181"/>
      <c r="F106" s="181"/>
      <c r="G106" s="182"/>
    </row>
    <row r="107" spans="1:7" ht="24" x14ac:dyDescent="0.25">
      <c r="A107" s="64" t="s">
        <v>75</v>
      </c>
      <c r="B107" s="153" t="s">
        <v>76</v>
      </c>
      <c r="C107" s="154"/>
      <c r="D107" s="154"/>
      <c r="E107" s="154"/>
      <c r="F107" s="70" t="s">
        <v>52</v>
      </c>
      <c r="G107" s="69" t="s">
        <v>6</v>
      </c>
    </row>
    <row r="108" spans="1:7" x14ac:dyDescent="0.25">
      <c r="A108" s="69" t="s">
        <v>14</v>
      </c>
      <c r="B108" s="166" t="s">
        <v>77</v>
      </c>
      <c r="C108" s="167"/>
      <c r="D108" s="167"/>
      <c r="E108" s="167"/>
      <c r="F108" s="20">
        <f>(8.33%+(8.33%*1/3))/12</f>
        <v>9.2555555555555551E-3</v>
      </c>
      <c r="G108" s="16">
        <f>F108*G46</f>
        <v>29.097245333333333</v>
      </c>
    </row>
    <row r="109" spans="1:7" x14ac:dyDescent="0.25">
      <c r="A109" s="69" t="s">
        <v>16</v>
      </c>
      <c r="B109" s="166" t="s">
        <v>117</v>
      </c>
      <c r="C109" s="167"/>
      <c r="D109" s="167"/>
      <c r="E109" s="167"/>
      <c r="F109" s="20">
        <f>(1/12)/30</f>
        <v>2.7777777777777775E-3</v>
      </c>
      <c r="G109" s="16">
        <f>F109*G46</f>
        <v>8.7326666666666668</v>
      </c>
    </row>
    <row r="110" spans="1:7" x14ac:dyDescent="0.25">
      <c r="A110" s="69" t="s">
        <v>19</v>
      </c>
      <c r="B110" s="166" t="s">
        <v>118</v>
      </c>
      <c r="C110" s="167"/>
      <c r="D110" s="167"/>
      <c r="E110" s="167"/>
      <c r="F110" s="36">
        <f>1.5%/12</f>
        <v>1.25E-3</v>
      </c>
      <c r="G110" s="16">
        <f>F110*G46</f>
        <v>3.9297000000000004</v>
      </c>
    </row>
    <row r="111" spans="1:7" ht="33" customHeight="1" x14ac:dyDescent="0.25">
      <c r="A111" s="69" t="s">
        <v>21</v>
      </c>
      <c r="B111" s="166" t="s">
        <v>119</v>
      </c>
      <c r="C111" s="167"/>
      <c r="D111" s="167"/>
      <c r="E111" s="167"/>
      <c r="F111" s="29">
        <f>8%/12/2</f>
        <v>3.3333333333333335E-3</v>
      </c>
      <c r="G111" s="16">
        <f>F111*G46</f>
        <v>10.479200000000001</v>
      </c>
    </row>
    <row r="112" spans="1:7" ht="28.5" customHeight="1" x14ac:dyDescent="0.25">
      <c r="A112" s="69" t="s">
        <v>38</v>
      </c>
      <c r="B112" s="166" t="s">
        <v>120</v>
      </c>
      <c r="C112" s="167"/>
      <c r="D112" s="167"/>
      <c r="E112" s="167"/>
      <c r="F112" s="37">
        <f>1.5%/12</f>
        <v>1.25E-3</v>
      </c>
      <c r="G112" s="16">
        <f>F112*G46</f>
        <v>3.9297000000000004</v>
      </c>
    </row>
    <row r="113" spans="1:7" x14ac:dyDescent="0.25">
      <c r="A113" s="69" t="s">
        <v>40</v>
      </c>
      <c r="B113" s="166" t="s">
        <v>78</v>
      </c>
      <c r="C113" s="167"/>
      <c r="D113" s="167"/>
      <c r="E113" s="167"/>
      <c r="F113" s="20">
        <f>(5/12)/30</f>
        <v>1.388888888888889E-2</v>
      </c>
      <c r="G113" s="16">
        <f>F113*G46</f>
        <v>43.663333333333341</v>
      </c>
    </row>
    <row r="114" spans="1:7" x14ac:dyDescent="0.25">
      <c r="A114" s="31"/>
      <c r="B114" s="162" t="s">
        <v>8</v>
      </c>
      <c r="C114" s="163"/>
      <c r="D114" s="163"/>
      <c r="E114" s="164"/>
      <c r="F114" s="38">
        <f>SUM(F108:F113)</f>
        <v>3.1755555555555558E-2</v>
      </c>
      <c r="G114" s="12">
        <f>SUM(G108:G113)</f>
        <v>99.831845333333348</v>
      </c>
    </row>
    <row r="115" spans="1:7" ht="44.25" customHeight="1" x14ac:dyDescent="0.25">
      <c r="A115" s="147" t="s">
        <v>121</v>
      </c>
      <c r="B115" s="148"/>
      <c r="C115" s="148"/>
      <c r="D115" s="148"/>
      <c r="E115" s="148"/>
      <c r="F115" s="148"/>
      <c r="G115" s="149"/>
    </row>
    <row r="116" spans="1:7" x14ac:dyDescent="0.25">
      <c r="A116" s="153"/>
      <c r="B116" s="154"/>
      <c r="C116" s="154"/>
      <c r="D116" s="154"/>
      <c r="E116" s="154"/>
      <c r="F116" s="154"/>
      <c r="G116" s="155"/>
    </row>
    <row r="117" spans="1:7" x14ac:dyDescent="0.25">
      <c r="A117" s="172" t="s">
        <v>79</v>
      </c>
      <c r="B117" s="173"/>
      <c r="C117" s="173"/>
      <c r="D117" s="173"/>
      <c r="E117" s="173"/>
      <c r="F117" s="173"/>
      <c r="G117" s="174"/>
    </row>
    <row r="118" spans="1:7" ht="24" x14ac:dyDescent="0.25">
      <c r="A118" s="69" t="s">
        <v>80</v>
      </c>
      <c r="B118" s="153" t="s">
        <v>81</v>
      </c>
      <c r="C118" s="154"/>
      <c r="D118" s="154"/>
      <c r="E118" s="155"/>
      <c r="F118" s="70" t="s">
        <v>52</v>
      </c>
      <c r="G118" s="69" t="s">
        <v>6</v>
      </c>
    </row>
    <row r="119" spans="1:7" x14ac:dyDescent="0.25">
      <c r="A119" s="69" t="s">
        <v>14</v>
      </c>
      <c r="B119" s="166" t="s">
        <v>82</v>
      </c>
      <c r="C119" s="167"/>
      <c r="D119" s="167"/>
      <c r="E119" s="168"/>
      <c r="F119" s="39"/>
      <c r="G119" s="16"/>
    </row>
    <row r="120" spans="1:7" x14ac:dyDescent="0.25">
      <c r="A120" s="58"/>
      <c r="B120" s="162" t="s">
        <v>8</v>
      </c>
      <c r="C120" s="163"/>
      <c r="D120" s="163"/>
      <c r="E120" s="164"/>
      <c r="F120" s="40"/>
      <c r="G120" s="41"/>
    </row>
    <row r="121" spans="1:7" ht="24.75" customHeight="1" x14ac:dyDescent="0.25">
      <c r="A121" s="147" t="s">
        <v>122</v>
      </c>
      <c r="B121" s="148"/>
      <c r="C121" s="148"/>
      <c r="D121" s="148"/>
      <c r="E121" s="148"/>
      <c r="F121" s="148"/>
      <c r="G121" s="149"/>
    </row>
    <row r="122" spans="1:7" x14ac:dyDescent="0.25">
      <c r="A122" s="175"/>
      <c r="B122" s="176"/>
      <c r="C122" s="176"/>
      <c r="D122" s="176"/>
      <c r="E122" s="176"/>
      <c r="F122" s="176"/>
      <c r="G122" s="177"/>
    </row>
    <row r="123" spans="1:7" x14ac:dyDescent="0.25">
      <c r="A123" s="58"/>
      <c r="B123" s="169" t="s">
        <v>83</v>
      </c>
      <c r="C123" s="152"/>
      <c r="D123" s="152"/>
      <c r="E123" s="152"/>
      <c r="F123" s="152"/>
      <c r="G123" s="19"/>
    </row>
    <row r="124" spans="1:7" ht="24" x14ac:dyDescent="0.25">
      <c r="A124" s="69">
        <v>4</v>
      </c>
      <c r="B124" s="170" t="s">
        <v>84</v>
      </c>
      <c r="C124" s="170"/>
      <c r="D124" s="170"/>
      <c r="E124" s="170"/>
      <c r="F124" s="70" t="s">
        <v>52</v>
      </c>
      <c r="G124" s="69" t="s">
        <v>6</v>
      </c>
    </row>
    <row r="125" spans="1:7" x14ac:dyDescent="0.25">
      <c r="A125" s="69" t="s">
        <v>75</v>
      </c>
      <c r="B125" s="159" t="s">
        <v>85</v>
      </c>
      <c r="C125" s="159"/>
      <c r="D125" s="159"/>
      <c r="E125" s="159"/>
      <c r="F125" s="20">
        <f>F114</f>
        <v>3.1755555555555558E-2</v>
      </c>
      <c r="G125" s="23">
        <f>G114</f>
        <v>99.831845333333348</v>
      </c>
    </row>
    <row r="126" spans="1:7" x14ac:dyDescent="0.25">
      <c r="A126" s="69" t="s">
        <v>80</v>
      </c>
      <c r="B126" s="159" t="s">
        <v>81</v>
      </c>
      <c r="C126" s="159"/>
      <c r="D126" s="159"/>
      <c r="E126" s="159"/>
      <c r="F126" s="42"/>
      <c r="G126" s="43"/>
    </row>
    <row r="127" spans="1:7" x14ac:dyDescent="0.25">
      <c r="A127" s="44"/>
      <c r="B127" s="162" t="s">
        <v>8</v>
      </c>
      <c r="C127" s="163"/>
      <c r="D127" s="163"/>
      <c r="E127" s="164"/>
      <c r="F127" s="21"/>
      <c r="G127" s="12">
        <f>SUM(G125:G126)</f>
        <v>99.831845333333348</v>
      </c>
    </row>
    <row r="128" spans="1:7" x14ac:dyDescent="0.25">
      <c r="A128" s="64"/>
      <c r="B128" s="67"/>
      <c r="C128" s="67"/>
      <c r="D128" s="67"/>
      <c r="E128" s="67"/>
      <c r="F128" s="25"/>
      <c r="G128" s="45"/>
    </row>
    <row r="129" spans="1:7" x14ac:dyDescent="0.25">
      <c r="A129" s="58"/>
      <c r="B129" s="169" t="s">
        <v>86</v>
      </c>
      <c r="C129" s="152"/>
      <c r="D129" s="152"/>
      <c r="E129" s="152"/>
      <c r="F129" s="152"/>
      <c r="G129" s="19"/>
    </row>
    <row r="130" spans="1:7" x14ac:dyDescent="0.25">
      <c r="A130" s="69">
        <v>5</v>
      </c>
      <c r="B130" s="172" t="s">
        <v>87</v>
      </c>
      <c r="C130" s="173"/>
      <c r="D130" s="173"/>
      <c r="E130" s="173"/>
      <c r="F130" s="174"/>
      <c r="G130" s="69" t="s">
        <v>6</v>
      </c>
    </row>
    <row r="131" spans="1:7" x14ac:dyDescent="0.25">
      <c r="A131" s="69" t="s">
        <v>14</v>
      </c>
      <c r="B131" s="166" t="s">
        <v>88</v>
      </c>
      <c r="C131" s="167"/>
      <c r="D131" s="167"/>
      <c r="E131" s="167"/>
      <c r="F131" s="168"/>
      <c r="G131" s="46">
        <f>Uniformes!AB22</f>
        <v>251.39</v>
      </c>
    </row>
    <row r="132" spans="1:7" x14ac:dyDescent="0.25">
      <c r="A132" s="69" t="s">
        <v>16</v>
      </c>
      <c r="B132" s="166" t="s">
        <v>199</v>
      </c>
      <c r="C132" s="167"/>
      <c r="D132" s="167"/>
      <c r="E132" s="167"/>
      <c r="F132" s="168"/>
      <c r="G132" s="46"/>
    </row>
    <row r="133" spans="1:7" x14ac:dyDescent="0.25">
      <c r="A133" s="64" t="s">
        <v>19</v>
      </c>
      <c r="B133" s="166" t="s">
        <v>200</v>
      </c>
      <c r="C133" s="167"/>
      <c r="D133" s="167"/>
      <c r="E133" s="167"/>
      <c r="F133" s="168"/>
      <c r="G133" s="46">
        <v>0</v>
      </c>
    </row>
    <row r="134" spans="1:7" x14ac:dyDescent="0.25">
      <c r="A134" s="64" t="s">
        <v>21</v>
      </c>
      <c r="B134" s="166" t="s">
        <v>101</v>
      </c>
      <c r="C134" s="167"/>
      <c r="D134" s="167"/>
      <c r="E134" s="167"/>
      <c r="F134" s="168"/>
      <c r="G134" s="47">
        <f>'[1] EPI Pesquisa'!L25</f>
        <v>0</v>
      </c>
    </row>
    <row r="135" spans="1:7" x14ac:dyDescent="0.25">
      <c r="A135" s="58"/>
      <c r="B135" s="162" t="s">
        <v>8</v>
      </c>
      <c r="C135" s="163"/>
      <c r="D135" s="163"/>
      <c r="E135" s="163"/>
      <c r="F135" s="164"/>
      <c r="G135" s="12">
        <f>SUM(G131:G134)</f>
        <v>251.39</v>
      </c>
    </row>
    <row r="136" spans="1:7" ht="26.25" customHeight="1" x14ac:dyDescent="0.25">
      <c r="A136" s="147" t="s">
        <v>123</v>
      </c>
      <c r="B136" s="148"/>
      <c r="C136" s="148"/>
      <c r="D136" s="148"/>
      <c r="E136" s="148"/>
      <c r="F136" s="148"/>
      <c r="G136" s="149"/>
    </row>
    <row r="137" spans="1:7" x14ac:dyDescent="0.25">
      <c r="A137" s="48"/>
      <c r="B137" s="34"/>
      <c r="C137" s="34"/>
      <c r="D137" s="34"/>
      <c r="E137" s="34"/>
      <c r="F137" s="25"/>
      <c r="G137" s="49"/>
    </row>
    <row r="138" spans="1:7" x14ac:dyDescent="0.25">
      <c r="A138" s="58"/>
      <c r="B138" s="169" t="s">
        <v>89</v>
      </c>
      <c r="C138" s="152"/>
      <c r="D138" s="152"/>
      <c r="E138" s="152"/>
      <c r="F138" s="152"/>
      <c r="G138" s="19"/>
    </row>
    <row r="139" spans="1:7" x14ac:dyDescent="0.25">
      <c r="A139" s="69">
        <v>6</v>
      </c>
      <c r="B139" s="170" t="s">
        <v>90</v>
      </c>
      <c r="C139" s="170"/>
      <c r="D139" s="170"/>
      <c r="E139" s="171" t="s">
        <v>52</v>
      </c>
      <c r="F139" s="171"/>
      <c r="G139" s="50" t="s">
        <v>6</v>
      </c>
    </row>
    <row r="140" spans="1:7" x14ac:dyDescent="0.25">
      <c r="A140" s="69" t="s">
        <v>14</v>
      </c>
      <c r="B140" s="159" t="s">
        <v>91</v>
      </c>
      <c r="C140" s="159"/>
      <c r="D140" s="159"/>
      <c r="E140" s="160">
        <v>0.05</v>
      </c>
      <c r="F140" s="161"/>
      <c r="G140" s="47">
        <f>(G46+G91+G101+G127+G135)*E140</f>
        <v>354.24391736608663</v>
      </c>
    </row>
    <row r="141" spans="1:7" x14ac:dyDescent="0.25">
      <c r="A141" s="69" t="s">
        <v>16</v>
      </c>
      <c r="B141" s="159" t="s">
        <v>92</v>
      </c>
      <c r="C141" s="159"/>
      <c r="D141" s="159"/>
      <c r="E141" s="160">
        <v>0.05</v>
      </c>
      <c r="F141" s="161"/>
      <c r="G141" s="47">
        <f>(G46+G91+G101+G127+G135+G140)*E141</f>
        <v>371.95611323439101</v>
      </c>
    </row>
    <row r="142" spans="1:7" x14ac:dyDescent="0.25">
      <c r="A142" s="69" t="s">
        <v>19</v>
      </c>
      <c r="B142" s="159" t="s">
        <v>93</v>
      </c>
      <c r="C142" s="159"/>
      <c r="D142" s="159"/>
      <c r="E142" s="160">
        <f>SUM(E143:F144)</f>
        <v>8.6499999999999994E-2</v>
      </c>
      <c r="F142" s="161"/>
      <c r="G142" s="43"/>
    </row>
    <row r="143" spans="1:7" ht="15" customHeight="1" x14ac:dyDescent="0.25">
      <c r="A143" s="39"/>
      <c r="B143" s="156" t="s">
        <v>196</v>
      </c>
      <c r="C143" s="156"/>
      <c r="D143" s="156"/>
      <c r="E143" s="157">
        <f>0.65%+3%</f>
        <v>3.6499999999999998E-2</v>
      </c>
      <c r="F143" s="158"/>
      <c r="G143" s="47">
        <f>E143*G158</f>
        <v>312.10110650701768</v>
      </c>
    </row>
    <row r="144" spans="1:7" x14ac:dyDescent="0.25">
      <c r="A144" s="39"/>
      <c r="B144" s="159" t="s">
        <v>124</v>
      </c>
      <c r="C144" s="159"/>
      <c r="D144" s="159"/>
      <c r="E144" s="160">
        <v>0.05</v>
      </c>
      <c r="F144" s="161"/>
      <c r="G144" s="90">
        <f>E144*G158</f>
        <v>427.53576233838044</v>
      </c>
    </row>
    <row r="145" spans="1:7" x14ac:dyDescent="0.25">
      <c r="A145" s="58"/>
      <c r="B145" s="162" t="s">
        <v>8</v>
      </c>
      <c r="C145" s="163"/>
      <c r="D145" s="164"/>
      <c r="E145" s="165">
        <f>E140+E141+E142</f>
        <v>0.1865</v>
      </c>
      <c r="F145" s="164"/>
      <c r="G145" s="51">
        <f>SUM(G140:G144)</f>
        <v>1465.8368994458758</v>
      </c>
    </row>
    <row r="146" spans="1:7" ht="17.25" customHeight="1" x14ac:dyDescent="0.25">
      <c r="A146" s="147" t="s">
        <v>125</v>
      </c>
      <c r="B146" s="148"/>
      <c r="C146" s="148"/>
      <c r="D146" s="148"/>
      <c r="E146" s="148"/>
      <c r="F146" s="148"/>
      <c r="G146" s="149"/>
    </row>
    <row r="147" spans="1:7" x14ac:dyDescent="0.25">
      <c r="A147" s="147" t="s">
        <v>126</v>
      </c>
      <c r="B147" s="148"/>
      <c r="C147" s="148"/>
      <c r="D147" s="148"/>
      <c r="E147" s="148"/>
      <c r="F147" s="148"/>
      <c r="G147" s="149"/>
    </row>
    <row r="148" spans="1:7" x14ac:dyDescent="0.25">
      <c r="A148" s="150"/>
      <c r="B148" s="150"/>
      <c r="C148" s="150"/>
      <c r="D148" s="150"/>
      <c r="E148" s="150"/>
      <c r="F148" s="150"/>
      <c r="G148" s="151"/>
    </row>
    <row r="149" spans="1:7" x14ac:dyDescent="0.25">
      <c r="A149" s="44"/>
      <c r="B149" s="152" t="s">
        <v>94</v>
      </c>
      <c r="C149" s="152"/>
      <c r="D149" s="152"/>
      <c r="E149" s="152"/>
      <c r="F149" s="152"/>
      <c r="G149" s="19"/>
    </row>
    <row r="150" spans="1:7" x14ac:dyDescent="0.25">
      <c r="A150" s="52"/>
      <c r="B150" s="153" t="s">
        <v>95</v>
      </c>
      <c r="C150" s="154"/>
      <c r="D150" s="154"/>
      <c r="E150" s="154"/>
      <c r="F150" s="155"/>
      <c r="G150" s="52" t="s">
        <v>96</v>
      </c>
    </row>
    <row r="151" spans="1:7" x14ac:dyDescent="0.25">
      <c r="A151" s="69" t="s">
        <v>14</v>
      </c>
      <c r="B151" s="141" t="s">
        <v>127</v>
      </c>
      <c r="C151" s="142"/>
      <c r="D151" s="142"/>
      <c r="E151" s="142"/>
      <c r="F151" s="143"/>
      <c r="G151" s="53">
        <f>G46</f>
        <v>3143.76</v>
      </c>
    </row>
    <row r="152" spans="1:7" x14ac:dyDescent="0.25">
      <c r="A152" s="69" t="s">
        <v>16</v>
      </c>
      <c r="B152" s="141" t="s">
        <v>128</v>
      </c>
      <c r="C152" s="142"/>
      <c r="D152" s="142"/>
      <c r="E152" s="142"/>
      <c r="F152" s="143"/>
      <c r="G152" s="53">
        <f>G91</f>
        <v>3328.8917889066661</v>
      </c>
    </row>
    <row r="153" spans="1:7" x14ac:dyDescent="0.25">
      <c r="A153" s="69" t="s">
        <v>19</v>
      </c>
      <c r="B153" s="141" t="s">
        <v>129</v>
      </c>
      <c r="C153" s="142"/>
      <c r="D153" s="142"/>
      <c r="E153" s="142"/>
      <c r="F153" s="143"/>
      <c r="G153" s="53">
        <f>G101</f>
        <v>261.00471308173331</v>
      </c>
    </row>
    <row r="154" spans="1:7" x14ac:dyDescent="0.25">
      <c r="A154" s="69" t="s">
        <v>21</v>
      </c>
      <c r="B154" s="141" t="s">
        <v>130</v>
      </c>
      <c r="C154" s="142"/>
      <c r="D154" s="142"/>
      <c r="E154" s="142"/>
      <c r="F154" s="143"/>
      <c r="G154" s="53">
        <f>G127</f>
        <v>99.831845333333348</v>
      </c>
    </row>
    <row r="155" spans="1:7" x14ac:dyDescent="0.25">
      <c r="A155" s="69" t="s">
        <v>38</v>
      </c>
      <c r="B155" s="141" t="s">
        <v>131</v>
      </c>
      <c r="C155" s="142"/>
      <c r="D155" s="142"/>
      <c r="E155" s="142"/>
      <c r="F155" s="143"/>
      <c r="G155" s="53">
        <f>G135</f>
        <v>251.39</v>
      </c>
    </row>
    <row r="156" spans="1:7" x14ac:dyDescent="0.25">
      <c r="A156" s="54"/>
      <c r="B156" s="144" t="s">
        <v>97</v>
      </c>
      <c r="C156" s="145"/>
      <c r="D156" s="145"/>
      <c r="E156" s="145"/>
      <c r="F156" s="146"/>
      <c r="G156" s="53">
        <f>SUM(G151:G155)</f>
        <v>7084.8783473217327</v>
      </c>
    </row>
    <row r="157" spans="1:7" x14ac:dyDescent="0.25">
      <c r="A157" s="55" t="s">
        <v>40</v>
      </c>
      <c r="B157" s="141" t="s">
        <v>132</v>
      </c>
      <c r="C157" s="142"/>
      <c r="D157" s="142"/>
      <c r="E157" s="142"/>
      <c r="F157" s="143"/>
      <c r="G157" s="91">
        <f>G145</f>
        <v>1465.8368994458758</v>
      </c>
    </row>
    <row r="158" spans="1:7" ht="15" customHeight="1" x14ac:dyDescent="0.25">
      <c r="A158" s="56"/>
      <c r="B158" s="138" t="s">
        <v>98</v>
      </c>
      <c r="C158" s="139"/>
      <c r="D158" s="139"/>
      <c r="E158" s="139"/>
      <c r="F158" s="140"/>
      <c r="G158" s="91">
        <f>(G140+G141+G156)/(1-E142)</f>
        <v>8550.7152467676078</v>
      </c>
    </row>
    <row r="159" spans="1:7" x14ac:dyDescent="0.25">
      <c r="G159" s="137">
        <v>8550.7199999999993</v>
      </c>
    </row>
  </sheetData>
  <mergeCells count="166">
    <mergeCell ref="A23:G23"/>
    <mergeCell ref="A24:D24"/>
    <mergeCell ref="F24:G24"/>
    <mergeCell ref="A31:G31"/>
    <mergeCell ref="B32:E32"/>
    <mergeCell ref="F32:G32"/>
    <mergeCell ref="A25:D25"/>
    <mergeCell ref="F25:G25"/>
    <mergeCell ref="A26:G26"/>
    <mergeCell ref="A27:G27"/>
    <mergeCell ref="A29:G29"/>
    <mergeCell ref="A30:G30"/>
    <mergeCell ref="A2:G2"/>
    <mergeCell ref="A3:G3"/>
    <mergeCell ref="A4:G4"/>
    <mergeCell ref="A5:G5"/>
    <mergeCell ref="A6:G6"/>
    <mergeCell ref="A7:G7"/>
    <mergeCell ref="B20:E20"/>
    <mergeCell ref="F20:G20"/>
    <mergeCell ref="B21:E21"/>
    <mergeCell ref="F21:G21"/>
    <mergeCell ref="A15:G15"/>
    <mergeCell ref="A16:G16"/>
    <mergeCell ref="A17:G17"/>
    <mergeCell ref="A8:G8"/>
    <mergeCell ref="A9:G9"/>
    <mergeCell ref="A10:G10"/>
    <mergeCell ref="A11:G11"/>
    <mergeCell ref="A13:G13"/>
    <mergeCell ref="A14:G14"/>
    <mergeCell ref="B18:E18"/>
    <mergeCell ref="F18:G18"/>
    <mergeCell ref="B19:E19"/>
    <mergeCell ref="F19:G19"/>
    <mergeCell ref="B35:E35"/>
    <mergeCell ref="F35:G35"/>
    <mergeCell ref="B36:E36"/>
    <mergeCell ref="F36:G36"/>
    <mergeCell ref="A37:G37"/>
    <mergeCell ref="B38:E38"/>
    <mergeCell ref="B33:E33"/>
    <mergeCell ref="F33:G33"/>
    <mergeCell ref="B34:E34"/>
    <mergeCell ref="F34:G34"/>
    <mergeCell ref="B45:E45"/>
    <mergeCell ref="B46:E46"/>
    <mergeCell ref="A47:G47"/>
    <mergeCell ref="A48:G48"/>
    <mergeCell ref="B49:E49"/>
    <mergeCell ref="A50:G50"/>
    <mergeCell ref="B39:E39"/>
    <mergeCell ref="B40:E40"/>
    <mergeCell ref="B41:E41"/>
    <mergeCell ref="B42:E42"/>
    <mergeCell ref="B43:E43"/>
    <mergeCell ref="B44:E44"/>
    <mergeCell ref="A57:G57"/>
    <mergeCell ref="A59:G59"/>
    <mergeCell ref="B60:E60"/>
    <mergeCell ref="B61:E61"/>
    <mergeCell ref="B62:E62"/>
    <mergeCell ref="B63:E63"/>
    <mergeCell ref="B51:F51"/>
    <mergeCell ref="B52:E52"/>
    <mergeCell ref="B53:E53"/>
    <mergeCell ref="B54:E54"/>
    <mergeCell ref="A55:G55"/>
    <mergeCell ref="A56:G56"/>
    <mergeCell ref="A70:G70"/>
    <mergeCell ref="A71:G71"/>
    <mergeCell ref="A72:G72"/>
    <mergeCell ref="A74:G74"/>
    <mergeCell ref="B75:F75"/>
    <mergeCell ref="B76:F76"/>
    <mergeCell ref="B64:E64"/>
    <mergeCell ref="B65:E65"/>
    <mergeCell ref="B66:E66"/>
    <mergeCell ref="B67:E67"/>
    <mergeCell ref="B68:E68"/>
    <mergeCell ref="B69:E69"/>
    <mergeCell ref="A83:G83"/>
    <mergeCell ref="A84:G84"/>
    <mergeCell ref="B86:F86"/>
    <mergeCell ref="B87:F87"/>
    <mergeCell ref="B88:F88"/>
    <mergeCell ref="B89:F89"/>
    <mergeCell ref="B77:F77"/>
    <mergeCell ref="B78:F78"/>
    <mergeCell ref="B79:F79"/>
    <mergeCell ref="B80:F80"/>
    <mergeCell ref="B81:F81"/>
    <mergeCell ref="B82:F82"/>
    <mergeCell ref="B96:E96"/>
    <mergeCell ref="B97:E97"/>
    <mergeCell ref="B98:E98"/>
    <mergeCell ref="B99:E99"/>
    <mergeCell ref="B100:E100"/>
    <mergeCell ref="B101:E101"/>
    <mergeCell ref="B90:F90"/>
    <mergeCell ref="B91:F91"/>
    <mergeCell ref="A92:G92"/>
    <mergeCell ref="B93:E93"/>
    <mergeCell ref="B94:E94"/>
    <mergeCell ref="B95:E95"/>
    <mergeCell ref="B109:E109"/>
    <mergeCell ref="B110:E110"/>
    <mergeCell ref="B111:E111"/>
    <mergeCell ref="B112:E112"/>
    <mergeCell ref="B113:E113"/>
    <mergeCell ref="B114:E114"/>
    <mergeCell ref="B103:E103"/>
    <mergeCell ref="A104:G104"/>
    <mergeCell ref="A105:G105"/>
    <mergeCell ref="A106:G106"/>
    <mergeCell ref="B107:E107"/>
    <mergeCell ref="B108:E108"/>
    <mergeCell ref="A121:G121"/>
    <mergeCell ref="A122:G122"/>
    <mergeCell ref="B123:F123"/>
    <mergeCell ref="B124:E124"/>
    <mergeCell ref="B125:E125"/>
    <mergeCell ref="B126:E126"/>
    <mergeCell ref="A115:G115"/>
    <mergeCell ref="A116:G116"/>
    <mergeCell ref="A117:G117"/>
    <mergeCell ref="B118:E118"/>
    <mergeCell ref="B119:E119"/>
    <mergeCell ref="B120:E120"/>
    <mergeCell ref="B134:F134"/>
    <mergeCell ref="B135:F135"/>
    <mergeCell ref="A136:G136"/>
    <mergeCell ref="B138:F138"/>
    <mergeCell ref="B139:D139"/>
    <mergeCell ref="E139:F139"/>
    <mergeCell ref="B127:E127"/>
    <mergeCell ref="B129:F129"/>
    <mergeCell ref="B130:F130"/>
    <mergeCell ref="B131:F131"/>
    <mergeCell ref="B132:F132"/>
    <mergeCell ref="B133:F133"/>
    <mergeCell ref="B143:D143"/>
    <mergeCell ref="E143:F143"/>
    <mergeCell ref="B144:D144"/>
    <mergeCell ref="E144:F144"/>
    <mergeCell ref="B145:D145"/>
    <mergeCell ref="E145:F145"/>
    <mergeCell ref="B140:D140"/>
    <mergeCell ref="E140:F140"/>
    <mergeCell ref="B141:D141"/>
    <mergeCell ref="E141:F141"/>
    <mergeCell ref="B142:D142"/>
    <mergeCell ref="E142:F142"/>
    <mergeCell ref="B158:F158"/>
    <mergeCell ref="B152:F152"/>
    <mergeCell ref="B153:F153"/>
    <mergeCell ref="B154:F154"/>
    <mergeCell ref="B155:F155"/>
    <mergeCell ref="B156:F156"/>
    <mergeCell ref="B157:F157"/>
    <mergeCell ref="A146:G146"/>
    <mergeCell ref="A147:G147"/>
    <mergeCell ref="A148:G148"/>
    <mergeCell ref="B149:F149"/>
    <mergeCell ref="B150:F150"/>
    <mergeCell ref="B151:F151"/>
  </mergeCells>
  <pageMargins left="0.511811024" right="0.511811024" top="0.78740157499999996" bottom="0.78740157499999996" header="0.31496062000000002" footer="0.31496062000000002"/>
  <pageSetup paperSize="9" scale="82" orientation="portrait" horizontalDpi="300" verticalDpi="300" r:id="rId1"/>
  <rowBreaks count="3" manualBreakCount="3">
    <brk id="46" max="16383" man="1"/>
    <brk id="92" max="16383" man="1"/>
    <brk id="135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9DFE9"/>
  </sheetPr>
  <dimension ref="A2:G159"/>
  <sheetViews>
    <sheetView topLeftCell="A144" zoomScale="150" zoomScaleNormal="150" workbookViewId="0">
      <selection activeCell="G159" sqref="G159"/>
    </sheetView>
  </sheetViews>
  <sheetFormatPr defaultColWidth="9.140625" defaultRowHeight="15" x14ac:dyDescent="0.25"/>
  <cols>
    <col min="1" max="1" width="6.140625" style="2" customWidth="1"/>
    <col min="2" max="5" width="15.7109375" style="2" customWidth="1"/>
    <col min="6" max="7" width="12.7109375" style="2" customWidth="1"/>
    <col min="8" max="16384" width="9.140625" style="2"/>
  </cols>
  <sheetData>
    <row r="2" spans="1:7" x14ac:dyDescent="0.25">
      <c r="A2" s="213" t="s">
        <v>0</v>
      </c>
      <c r="B2" s="213"/>
      <c r="C2" s="213"/>
      <c r="D2" s="213"/>
      <c r="E2" s="213"/>
      <c r="F2" s="213"/>
      <c r="G2" s="213"/>
    </row>
    <row r="3" spans="1:7" x14ac:dyDescent="0.25">
      <c r="A3" s="213" t="s">
        <v>1</v>
      </c>
      <c r="B3" s="213"/>
      <c r="C3" s="213"/>
      <c r="D3" s="213"/>
      <c r="E3" s="213"/>
      <c r="F3" s="213"/>
      <c r="G3" s="213"/>
    </row>
    <row r="4" spans="1:7" x14ac:dyDescent="0.25">
      <c r="A4" s="213" t="s">
        <v>2</v>
      </c>
      <c r="B4" s="213"/>
      <c r="C4" s="213"/>
      <c r="D4" s="213"/>
      <c r="E4" s="213"/>
      <c r="F4" s="213"/>
      <c r="G4" s="213"/>
    </row>
    <row r="5" spans="1:7" x14ac:dyDescent="0.25">
      <c r="A5" s="213" t="s">
        <v>3</v>
      </c>
      <c r="B5" s="213"/>
      <c r="C5" s="213"/>
      <c r="D5" s="213"/>
      <c r="E5" s="213"/>
      <c r="F5" s="213"/>
      <c r="G5" s="213"/>
    </row>
    <row r="6" spans="1:7" x14ac:dyDescent="0.25">
      <c r="A6" s="213" t="s">
        <v>4</v>
      </c>
      <c r="B6" s="213"/>
      <c r="C6" s="213"/>
      <c r="D6" s="213"/>
      <c r="E6" s="213"/>
      <c r="F6" s="213"/>
      <c r="G6" s="213"/>
    </row>
    <row r="7" spans="1:7" x14ac:dyDescent="0.25">
      <c r="A7" s="214"/>
      <c r="B7" s="214"/>
      <c r="C7" s="214"/>
      <c r="D7" s="214"/>
      <c r="E7" s="214"/>
      <c r="F7" s="214"/>
      <c r="G7" s="214"/>
    </row>
    <row r="8" spans="1:7" ht="48.75" customHeight="1" x14ac:dyDescent="0.25">
      <c r="A8" s="213" t="s">
        <v>207</v>
      </c>
      <c r="B8" s="213"/>
      <c r="C8" s="213"/>
      <c r="D8" s="213"/>
      <c r="E8" s="213"/>
      <c r="F8" s="213"/>
      <c r="G8" s="213"/>
    </row>
    <row r="9" spans="1:7" x14ac:dyDescent="0.25">
      <c r="A9" s="226"/>
      <c r="B9" s="226"/>
      <c r="C9" s="226"/>
      <c r="D9" s="226"/>
      <c r="E9" s="226"/>
      <c r="F9" s="226"/>
      <c r="G9" s="226"/>
    </row>
    <row r="10" spans="1:7" ht="15.75" x14ac:dyDescent="0.25">
      <c r="A10" s="227" t="s">
        <v>10</v>
      </c>
      <c r="B10" s="228"/>
      <c r="C10" s="228"/>
      <c r="D10" s="228"/>
      <c r="E10" s="228"/>
      <c r="F10" s="228"/>
      <c r="G10" s="229"/>
    </row>
    <row r="11" spans="1:7" ht="32.25" customHeight="1" x14ac:dyDescent="0.25">
      <c r="A11" s="169" t="s">
        <v>11</v>
      </c>
      <c r="B11" s="152"/>
      <c r="C11" s="152"/>
      <c r="D11" s="152"/>
      <c r="E11" s="152"/>
      <c r="F11" s="152"/>
      <c r="G11" s="178"/>
    </row>
    <row r="12" spans="1:7" x14ac:dyDescent="0.25">
      <c r="A12" s="59"/>
      <c r="B12" s="3"/>
      <c r="C12" s="3"/>
      <c r="D12" s="3"/>
      <c r="E12" s="3"/>
      <c r="F12" s="3"/>
      <c r="G12" s="60"/>
    </row>
    <row r="13" spans="1:7" x14ac:dyDescent="0.25">
      <c r="A13" s="230" t="s">
        <v>102</v>
      </c>
      <c r="B13" s="231"/>
      <c r="C13" s="231"/>
      <c r="D13" s="231"/>
      <c r="E13" s="231"/>
      <c r="F13" s="231"/>
      <c r="G13" s="232"/>
    </row>
    <row r="14" spans="1:7" x14ac:dyDescent="0.25">
      <c r="A14" s="230" t="s">
        <v>103</v>
      </c>
      <c r="B14" s="231"/>
      <c r="C14" s="231"/>
      <c r="D14" s="231"/>
      <c r="E14" s="231"/>
      <c r="F14" s="231"/>
      <c r="G14" s="232"/>
    </row>
    <row r="15" spans="1:7" x14ac:dyDescent="0.25">
      <c r="A15" s="225" t="s">
        <v>12</v>
      </c>
      <c r="B15" s="225"/>
      <c r="C15" s="225"/>
      <c r="D15" s="225"/>
      <c r="E15" s="225"/>
      <c r="F15" s="225"/>
      <c r="G15" s="225"/>
    </row>
    <row r="16" spans="1:7" x14ac:dyDescent="0.25">
      <c r="A16" s="226"/>
      <c r="B16" s="226"/>
      <c r="C16" s="226"/>
      <c r="D16" s="226"/>
      <c r="E16" s="226"/>
      <c r="F16" s="226"/>
      <c r="G16" s="226"/>
    </row>
    <row r="17" spans="1:7" x14ac:dyDescent="0.25">
      <c r="A17" s="169" t="s">
        <v>13</v>
      </c>
      <c r="B17" s="152"/>
      <c r="C17" s="152"/>
      <c r="D17" s="152"/>
      <c r="E17" s="152"/>
      <c r="F17" s="152"/>
      <c r="G17" s="178"/>
    </row>
    <row r="18" spans="1:7" x14ac:dyDescent="0.25">
      <c r="A18" s="69" t="s">
        <v>14</v>
      </c>
      <c r="B18" s="220" t="s">
        <v>15</v>
      </c>
      <c r="C18" s="221"/>
      <c r="D18" s="221"/>
      <c r="E18" s="222"/>
      <c r="F18" s="206">
        <f ca="1">NOW()</f>
        <v>45420.44917847222</v>
      </c>
      <c r="G18" s="233"/>
    </row>
    <row r="19" spans="1:7" x14ac:dyDescent="0.25">
      <c r="A19" s="69" t="s">
        <v>16</v>
      </c>
      <c r="B19" s="220" t="s">
        <v>17</v>
      </c>
      <c r="C19" s="221"/>
      <c r="D19" s="221"/>
      <c r="E19" s="222"/>
      <c r="F19" s="175" t="s">
        <v>18</v>
      </c>
      <c r="G19" s="177"/>
    </row>
    <row r="20" spans="1:7" ht="29.25" customHeight="1" x14ac:dyDescent="0.25">
      <c r="A20" s="66" t="s">
        <v>19</v>
      </c>
      <c r="B20" s="215" t="s">
        <v>20</v>
      </c>
      <c r="C20" s="216"/>
      <c r="D20" s="216"/>
      <c r="E20" s="217"/>
      <c r="F20" s="218" t="s">
        <v>223</v>
      </c>
      <c r="G20" s="219"/>
    </row>
    <row r="21" spans="1:7" ht="15.75" x14ac:dyDescent="0.25">
      <c r="A21" s="69" t="s">
        <v>21</v>
      </c>
      <c r="B21" s="220" t="s">
        <v>104</v>
      </c>
      <c r="C21" s="221"/>
      <c r="D21" s="221"/>
      <c r="E21" s="222"/>
      <c r="F21" s="223">
        <v>30</v>
      </c>
      <c r="G21" s="224"/>
    </row>
    <row r="22" spans="1:7" x14ac:dyDescent="0.25">
      <c r="A22" s="4"/>
      <c r="B22" s="4"/>
      <c r="C22" s="4"/>
      <c r="D22" s="4"/>
      <c r="E22" s="4"/>
      <c r="F22" s="4"/>
      <c r="G22" s="4"/>
    </row>
    <row r="23" spans="1:7" x14ac:dyDescent="0.25">
      <c r="A23" s="169" t="s">
        <v>22</v>
      </c>
      <c r="B23" s="152"/>
      <c r="C23" s="152"/>
      <c r="D23" s="152"/>
      <c r="E23" s="152"/>
      <c r="F23" s="152"/>
      <c r="G23" s="178"/>
    </row>
    <row r="24" spans="1:7" ht="50.25" customHeight="1" x14ac:dyDescent="0.25">
      <c r="A24" s="234" t="s">
        <v>23</v>
      </c>
      <c r="B24" s="234"/>
      <c r="C24" s="234"/>
      <c r="D24" s="234"/>
      <c r="E24" s="59" t="s">
        <v>24</v>
      </c>
      <c r="F24" s="235" t="s">
        <v>25</v>
      </c>
      <c r="G24" s="236"/>
    </row>
    <row r="25" spans="1:7" ht="15.75" x14ac:dyDescent="0.25">
      <c r="A25" s="238" t="s">
        <v>213</v>
      </c>
      <c r="B25" s="239"/>
      <c r="C25" s="239"/>
      <c r="D25" s="240"/>
      <c r="E25" s="59" t="s">
        <v>26</v>
      </c>
      <c r="F25" s="241">
        <v>1</v>
      </c>
      <c r="G25" s="241"/>
    </row>
    <row r="26" spans="1:7" ht="28.5" customHeight="1" x14ac:dyDescent="0.25">
      <c r="A26" s="147" t="s">
        <v>105</v>
      </c>
      <c r="B26" s="148"/>
      <c r="C26" s="148"/>
      <c r="D26" s="148"/>
      <c r="E26" s="148"/>
      <c r="F26" s="148"/>
      <c r="G26" s="149"/>
    </row>
    <row r="27" spans="1:7" ht="33.75" customHeight="1" x14ac:dyDescent="0.25">
      <c r="A27" s="147" t="s">
        <v>106</v>
      </c>
      <c r="B27" s="148"/>
      <c r="C27" s="148"/>
      <c r="D27" s="148"/>
      <c r="E27" s="148"/>
      <c r="F27" s="148"/>
      <c r="G27" s="149"/>
    </row>
    <row r="28" spans="1:7" x14ac:dyDescent="0.25">
      <c r="A28" s="5"/>
      <c r="B28" s="6"/>
      <c r="C28" s="6"/>
      <c r="D28" s="6"/>
      <c r="E28" s="6"/>
      <c r="F28" s="6"/>
      <c r="G28" s="7"/>
    </row>
    <row r="29" spans="1:7" x14ac:dyDescent="0.25">
      <c r="A29" s="242" t="s">
        <v>27</v>
      </c>
      <c r="B29" s="242"/>
      <c r="C29" s="242"/>
      <c r="D29" s="242"/>
      <c r="E29" s="242"/>
      <c r="F29" s="242"/>
      <c r="G29" s="242"/>
    </row>
    <row r="30" spans="1:7" x14ac:dyDescent="0.25">
      <c r="A30" s="237" t="s">
        <v>28</v>
      </c>
      <c r="B30" s="237"/>
      <c r="C30" s="237"/>
      <c r="D30" s="237"/>
      <c r="E30" s="237"/>
      <c r="F30" s="237"/>
      <c r="G30" s="237"/>
    </row>
    <row r="31" spans="1:7" x14ac:dyDescent="0.25">
      <c r="A31" s="237" t="s">
        <v>29</v>
      </c>
      <c r="B31" s="237"/>
      <c r="C31" s="237"/>
      <c r="D31" s="237"/>
      <c r="E31" s="237"/>
      <c r="F31" s="237"/>
      <c r="G31" s="237"/>
    </row>
    <row r="32" spans="1:7" x14ac:dyDescent="0.25">
      <c r="A32" s="69">
        <v>1</v>
      </c>
      <c r="B32" s="166" t="s">
        <v>30</v>
      </c>
      <c r="C32" s="167"/>
      <c r="D32" s="167"/>
      <c r="E32" s="168"/>
      <c r="F32" s="153" t="str">
        <f>A25</f>
        <v>Motorista Executivo II</v>
      </c>
      <c r="G32" s="155"/>
    </row>
    <row r="33" spans="1:7" x14ac:dyDescent="0.25">
      <c r="A33" s="69">
        <v>2</v>
      </c>
      <c r="B33" s="166" t="s">
        <v>31</v>
      </c>
      <c r="C33" s="167"/>
      <c r="D33" s="167"/>
      <c r="E33" s="168"/>
      <c r="F33" s="153" t="s">
        <v>204</v>
      </c>
      <c r="G33" s="155"/>
    </row>
    <row r="34" spans="1:7" x14ac:dyDescent="0.25">
      <c r="A34" s="66">
        <v>3</v>
      </c>
      <c r="B34" s="208" t="s">
        <v>224</v>
      </c>
      <c r="C34" s="209"/>
      <c r="D34" s="209"/>
      <c r="E34" s="210"/>
      <c r="F34" s="211">
        <v>3143.76</v>
      </c>
      <c r="G34" s="212"/>
    </row>
    <row r="35" spans="1:7" x14ac:dyDescent="0.25">
      <c r="A35" s="69">
        <v>4</v>
      </c>
      <c r="B35" s="166" t="s">
        <v>32</v>
      </c>
      <c r="C35" s="167"/>
      <c r="D35" s="167"/>
      <c r="E35" s="168"/>
      <c r="F35" s="153" t="str">
        <f>A25</f>
        <v>Motorista Executivo II</v>
      </c>
      <c r="G35" s="155"/>
    </row>
    <row r="36" spans="1:7" ht="29.25" customHeight="1" x14ac:dyDescent="0.25">
      <c r="A36" s="69">
        <v>5</v>
      </c>
      <c r="B36" s="159" t="s">
        <v>225</v>
      </c>
      <c r="C36" s="159"/>
      <c r="D36" s="159"/>
      <c r="E36" s="159"/>
      <c r="F36" s="206" t="s">
        <v>99</v>
      </c>
      <c r="G36" s="177"/>
    </row>
    <row r="37" spans="1:7" x14ac:dyDescent="0.25">
      <c r="A37" s="175"/>
      <c r="B37" s="176"/>
      <c r="C37" s="176"/>
      <c r="D37" s="176"/>
      <c r="E37" s="176"/>
      <c r="F37" s="176"/>
      <c r="G37" s="177"/>
    </row>
    <row r="38" spans="1:7" x14ac:dyDescent="0.25">
      <c r="A38" s="8"/>
      <c r="B38" s="207" t="s">
        <v>107</v>
      </c>
      <c r="C38" s="207"/>
      <c r="D38" s="207"/>
      <c r="E38" s="207"/>
      <c r="F38" s="9"/>
      <c r="G38" s="10"/>
    </row>
    <row r="39" spans="1:7" x14ac:dyDescent="0.25">
      <c r="A39" s="69">
        <v>1</v>
      </c>
      <c r="B39" s="153" t="s">
        <v>33</v>
      </c>
      <c r="C39" s="154"/>
      <c r="D39" s="154"/>
      <c r="E39" s="155"/>
      <c r="F39" s="69" t="s">
        <v>34</v>
      </c>
      <c r="G39" s="69" t="s">
        <v>6</v>
      </c>
    </row>
    <row r="40" spans="1:7" x14ac:dyDescent="0.25">
      <c r="A40" s="66" t="s">
        <v>14</v>
      </c>
      <c r="B40" s="172" t="s">
        <v>35</v>
      </c>
      <c r="C40" s="167"/>
      <c r="D40" s="167"/>
      <c r="E40" s="168"/>
      <c r="F40" s="11">
        <v>1</v>
      </c>
      <c r="G40" s="12">
        <f>F34</f>
        <v>3143.76</v>
      </c>
    </row>
    <row r="41" spans="1:7" x14ac:dyDescent="0.25">
      <c r="A41" s="69" t="s">
        <v>16</v>
      </c>
      <c r="B41" s="166" t="s">
        <v>108</v>
      </c>
      <c r="C41" s="167"/>
      <c r="D41" s="167"/>
      <c r="E41" s="168"/>
      <c r="F41" s="13">
        <v>0</v>
      </c>
      <c r="G41" s="14">
        <f>G40*F41</f>
        <v>0</v>
      </c>
    </row>
    <row r="42" spans="1:7" x14ac:dyDescent="0.25">
      <c r="A42" s="69" t="s">
        <v>19</v>
      </c>
      <c r="B42" s="166" t="s">
        <v>36</v>
      </c>
      <c r="C42" s="167"/>
      <c r="D42" s="167"/>
      <c r="E42" s="168"/>
      <c r="F42" s="15">
        <v>0</v>
      </c>
      <c r="G42" s="16">
        <f>G41*F42</f>
        <v>0</v>
      </c>
    </row>
    <row r="43" spans="1:7" ht="36" customHeight="1" x14ac:dyDescent="0.25">
      <c r="A43" s="115" t="s">
        <v>21</v>
      </c>
      <c r="B43" s="243" t="s">
        <v>215</v>
      </c>
      <c r="C43" s="244"/>
      <c r="D43" s="244"/>
      <c r="E43" s="245"/>
      <c r="F43" s="116">
        <v>9.3509999999999996E-2</v>
      </c>
      <c r="G43" s="16">
        <f>(1.142857*3)*(G40/220)*20%*30</f>
        <v>293.96193728072728</v>
      </c>
    </row>
    <row r="44" spans="1:7" x14ac:dyDescent="0.25">
      <c r="A44" s="69" t="s">
        <v>38</v>
      </c>
      <c r="B44" s="166" t="s">
        <v>39</v>
      </c>
      <c r="C44" s="167"/>
      <c r="D44" s="167"/>
      <c r="E44" s="168"/>
      <c r="F44" s="15">
        <v>0</v>
      </c>
      <c r="G44" s="16">
        <f>G43*F44</f>
        <v>0</v>
      </c>
    </row>
    <row r="45" spans="1:7" x14ac:dyDescent="0.25">
      <c r="A45" s="69" t="s">
        <v>40</v>
      </c>
      <c r="B45" s="166" t="s">
        <v>41</v>
      </c>
      <c r="C45" s="167"/>
      <c r="D45" s="167"/>
      <c r="E45" s="168"/>
      <c r="F45" s="15"/>
      <c r="G45" s="16"/>
    </row>
    <row r="46" spans="1:7" x14ac:dyDescent="0.25">
      <c r="A46" s="17"/>
      <c r="B46" s="162" t="s">
        <v>42</v>
      </c>
      <c r="C46" s="163"/>
      <c r="D46" s="163"/>
      <c r="E46" s="163"/>
      <c r="F46" s="18">
        <f>SUM(F40:F45)</f>
        <v>1.09351</v>
      </c>
      <c r="G46" s="12">
        <f>SUM(G40:G45)</f>
        <v>3437.7219372807276</v>
      </c>
    </row>
    <row r="47" spans="1:7" x14ac:dyDescent="0.25">
      <c r="A47" s="203" t="s">
        <v>109</v>
      </c>
      <c r="B47" s="204"/>
      <c r="C47" s="204"/>
      <c r="D47" s="204"/>
      <c r="E47" s="204"/>
      <c r="F47" s="204"/>
      <c r="G47" s="205"/>
    </row>
    <row r="48" spans="1:7" x14ac:dyDescent="0.25">
      <c r="A48" s="175"/>
      <c r="B48" s="176"/>
      <c r="C48" s="176"/>
      <c r="D48" s="176"/>
      <c r="E48" s="176"/>
      <c r="F48" s="176"/>
      <c r="G48" s="177"/>
    </row>
    <row r="49" spans="1:7" x14ac:dyDescent="0.25">
      <c r="A49" s="58"/>
      <c r="B49" s="169" t="s">
        <v>43</v>
      </c>
      <c r="C49" s="152"/>
      <c r="D49" s="152"/>
      <c r="E49" s="152"/>
      <c r="F49" s="19"/>
      <c r="G49" s="19"/>
    </row>
    <row r="50" spans="1:7" x14ac:dyDescent="0.25">
      <c r="A50" s="172" t="s">
        <v>44</v>
      </c>
      <c r="B50" s="173"/>
      <c r="C50" s="173"/>
      <c r="D50" s="173"/>
      <c r="E50" s="173"/>
      <c r="F50" s="173"/>
      <c r="G50" s="174"/>
    </row>
    <row r="51" spans="1:7" x14ac:dyDescent="0.25">
      <c r="A51" s="69" t="s">
        <v>45</v>
      </c>
      <c r="B51" s="172" t="s">
        <v>46</v>
      </c>
      <c r="C51" s="173"/>
      <c r="D51" s="173"/>
      <c r="E51" s="173"/>
      <c r="F51" s="174"/>
      <c r="G51" s="69" t="s">
        <v>6</v>
      </c>
    </row>
    <row r="52" spans="1:7" x14ac:dyDescent="0.25">
      <c r="A52" s="69" t="s">
        <v>14</v>
      </c>
      <c r="B52" s="166" t="s">
        <v>47</v>
      </c>
      <c r="C52" s="167"/>
      <c r="D52" s="167"/>
      <c r="E52" s="168"/>
      <c r="F52" s="20">
        <v>8.3299999999999999E-2</v>
      </c>
      <c r="G52" s="16">
        <f>F52*G46</f>
        <v>286.3622373754846</v>
      </c>
    </row>
    <row r="53" spans="1:7" x14ac:dyDescent="0.25">
      <c r="A53" s="69" t="s">
        <v>16</v>
      </c>
      <c r="B53" s="166" t="s">
        <v>48</v>
      </c>
      <c r="C53" s="167"/>
      <c r="D53" s="167"/>
      <c r="E53" s="168"/>
      <c r="F53" s="20">
        <v>0.121</v>
      </c>
      <c r="G53" s="16">
        <f>F53*G46</f>
        <v>415.96435441096804</v>
      </c>
    </row>
    <row r="54" spans="1:7" x14ac:dyDescent="0.25">
      <c r="A54" s="58"/>
      <c r="B54" s="162" t="s">
        <v>8</v>
      </c>
      <c r="C54" s="163"/>
      <c r="D54" s="163"/>
      <c r="E54" s="164"/>
      <c r="F54" s="21">
        <f>SUM(F52:F53)</f>
        <v>0.20429999999999998</v>
      </c>
      <c r="G54" s="12">
        <f>SUM(G52:G53)</f>
        <v>702.32659178645258</v>
      </c>
    </row>
    <row r="55" spans="1:7" ht="28.5" customHeight="1" x14ac:dyDescent="0.25">
      <c r="A55" s="147" t="s">
        <v>110</v>
      </c>
      <c r="B55" s="148"/>
      <c r="C55" s="148"/>
      <c r="D55" s="148"/>
      <c r="E55" s="148"/>
      <c r="F55" s="148"/>
      <c r="G55" s="149"/>
    </row>
    <row r="56" spans="1:7" ht="30" customHeight="1" x14ac:dyDescent="0.25">
      <c r="A56" s="147" t="s">
        <v>111</v>
      </c>
      <c r="B56" s="148"/>
      <c r="C56" s="148"/>
      <c r="D56" s="148"/>
      <c r="E56" s="148"/>
      <c r="F56" s="148"/>
      <c r="G56" s="149"/>
    </row>
    <row r="57" spans="1:7" ht="42.75" customHeight="1" x14ac:dyDescent="0.25">
      <c r="A57" s="246" t="s">
        <v>230</v>
      </c>
      <c r="B57" s="198"/>
      <c r="C57" s="198"/>
      <c r="D57" s="198"/>
      <c r="E57" s="198"/>
      <c r="F57" s="198"/>
      <c r="G57" s="199"/>
    </row>
    <row r="58" spans="1:7" x14ac:dyDescent="0.25">
      <c r="A58" s="61"/>
      <c r="B58" s="62"/>
      <c r="C58" s="62"/>
      <c r="D58" s="62"/>
      <c r="E58" s="62"/>
      <c r="F58" s="62"/>
      <c r="G58" s="63"/>
    </row>
    <row r="59" spans="1:7" ht="31.5" customHeight="1" x14ac:dyDescent="0.25">
      <c r="A59" s="172" t="s">
        <v>49</v>
      </c>
      <c r="B59" s="173"/>
      <c r="C59" s="173"/>
      <c r="D59" s="173"/>
      <c r="E59" s="173"/>
      <c r="F59" s="173"/>
      <c r="G59" s="174"/>
    </row>
    <row r="60" spans="1:7" ht="24" x14ac:dyDescent="0.25">
      <c r="A60" s="69" t="s">
        <v>50</v>
      </c>
      <c r="B60" s="172" t="s">
        <v>51</v>
      </c>
      <c r="C60" s="167"/>
      <c r="D60" s="167"/>
      <c r="E60" s="168"/>
      <c r="F60" s="70" t="s">
        <v>52</v>
      </c>
      <c r="G60" s="69" t="s">
        <v>6</v>
      </c>
    </row>
    <row r="61" spans="1:7" x14ac:dyDescent="0.25">
      <c r="A61" s="69" t="s">
        <v>14</v>
      </c>
      <c r="B61" s="166" t="s">
        <v>53</v>
      </c>
      <c r="C61" s="167"/>
      <c r="D61" s="167"/>
      <c r="E61" s="168"/>
      <c r="F61" s="22">
        <v>0.2</v>
      </c>
      <c r="G61" s="23">
        <f>F61*(G46+G54+G127)</f>
        <v>849.84305980621014</v>
      </c>
    </row>
    <row r="62" spans="1:7" x14ac:dyDescent="0.25">
      <c r="A62" s="69" t="s">
        <v>16</v>
      </c>
      <c r="B62" s="166" t="s">
        <v>54</v>
      </c>
      <c r="C62" s="167"/>
      <c r="D62" s="167"/>
      <c r="E62" s="168"/>
      <c r="F62" s="22">
        <v>2.5000000000000001E-2</v>
      </c>
      <c r="G62" s="23">
        <f>F62*(G46+G54+G127)</f>
        <v>106.23038247577627</v>
      </c>
    </row>
    <row r="63" spans="1:7" ht="15" customHeight="1" x14ac:dyDescent="0.25">
      <c r="A63" s="87" t="s">
        <v>19</v>
      </c>
      <c r="B63" s="200" t="s">
        <v>55</v>
      </c>
      <c r="C63" s="201"/>
      <c r="D63" s="201"/>
      <c r="E63" s="202"/>
      <c r="F63" s="88">
        <v>0.03</v>
      </c>
      <c r="G63" s="89">
        <f>F63*(G46+G54+G127)</f>
        <v>127.47645897093152</v>
      </c>
    </row>
    <row r="64" spans="1:7" x14ac:dyDescent="0.25">
      <c r="A64" s="69" t="s">
        <v>21</v>
      </c>
      <c r="B64" s="166" t="s">
        <v>56</v>
      </c>
      <c r="C64" s="167"/>
      <c r="D64" s="167"/>
      <c r="E64" s="168"/>
      <c r="F64" s="22">
        <v>1.4999999999999999E-2</v>
      </c>
      <c r="G64" s="23">
        <f>F64*(G46+G54+G127)</f>
        <v>63.738229485465759</v>
      </c>
    </row>
    <row r="65" spans="1:7" x14ac:dyDescent="0.25">
      <c r="A65" s="69" t="s">
        <v>38</v>
      </c>
      <c r="B65" s="166" t="s">
        <v>57</v>
      </c>
      <c r="C65" s="167"/>
      <c r="D65" s="167"/>
      <c r="E65" s="168"/>
      <c r="F65" s="22">
        <v>0.01</v>
      </c>
      <c r="G65" s="23">
        <f>F65*(G46+G54+G127)</f>
        <v>42.492152990310508</v>
      </c>
    </row>
    <row r="66" spans="1:7" x14ac:dyDescent="0.25">
      <c r="A66" s="69" t="s">
        <v>40</v>
      </c>
      <c r="B66" s="166" t="s">
        <v>58</v>
      </c>
      <c r="C66" s="167"/>
      <c r="D66" s="167"/>
      <c r="E66" s="168"/>
      <c r="F66" s="22">
        <v>6.0000000000000001E-3</v>
      </c>
      <c r="G66" s="23">
        <f>F66*(G46+G54+G127)</f>
        <v>25.495291794186304</v>
      </c>
    </row>
    <row r="67" spans="1:7" x14ac:dyDescent="0.25">
      <c r="A67" s="69" t="s">
        <v>59</v>
      </c>
      <c r="B67" s="166" t="s">
        <v>60</v>
      </c>
      <c r="C67" s="167"/>
      <c r="D67" s="167"/>
      <c r="E67" s="168"/>
      <c r="F67" s="22">
        <v>2E-3</v>
      </c>
      <c r="G67" s="23">
        <f>F67*(G46+G54+G127)</f>
        <v>8.498430598062102</v>
      </c>
    </row>
    <row r="68" spans="1:7" x14ac:dyDescent="0.25">
      <c r="A68" s="69" t="s">
        <v>61</v>
      </c>
      <c r="B68" s="166" t="s">
        <v>62</v>
      </c>
      <c r="C68" s="167"/>
      <c r="D68" s="167"/>
      <c r="E68" s="168"/>
      <c r="F68" s="22">
        <v>0.08</v>
      </c>
      <c r="G68" s="23">
        <f>F68*(G46+G54+G127)</f>
        <v>339.93722392248407</v>
      </c>
    </row>
    <row r="69" spans="1:7" x14ac:dyDescent="0.25">
      <c r="A69" s="58"/>
      <c r="B69" s="162" t="s">
        <v>8</v>
      </c>
      <c r="C69" s="163"/>
      <c r="D69" s="163"/>
      <c r="E69" s="164"/>
      <c r="F69" s="21">
        <f>SUM(F61:F68)</f>
        <v>0.36800000000000005</v>
      </c>
      <c r="G69" s="24">
        <f>SUM(G61:G68)</f>
        <v>1563.7112300434271</v>
      </c>
    </row>
    <row r="70" spans="1:7" x14ac:dyDescent="0.25">
      <c r="A70" s="147" t="s">
        <v>112</v>
      </c>
      <c r="B70" s="148"/>
      <c r="C70" s="148"/>
      <c r="D70" s="148"/>
      <c r="E70" s="148"/>
      <c r="F70" s="148"/>
      <c r="G70" s="149"/>
    </row>
    <row r="71" spans="1:7" ht="28.5" customHeight="1" x14ac:dyDescent="0.25">
      <c r="A71" s="147" t="s">
        <v>113</v>
      </c>
      <c r="B71" s="148"/>
      <c r="C71" s="148"/>
      <c r="D71" s="148"/>
      <c r="E71" s="148"/>
      <c r="F71" s="148"/>
      <c r="G71" s="149"/>
    </row>
    <row r="72" spans="1:7" ht="22.5" customHeight="1" x14ac:dyDescent="0.25">
      <c r="A72" s="194" t="s">
        <v>63</v>
      </c>
      <c r="B72" s="195"/>
      <c r="C72" s="195"/>
      <c r="D72" s="195"/>
      <c r="E72" s="195"/>
      <c r="F72" s="195"/>
      <c r="G72" s="196"/>
    </row>
    <row r="73" spans="1:7" x14ac:dyDescent="0.25">
      <c r="A73" s="64"/>
      <c r="B73" s="68"/>
      <c r="C73" s="62"/>
      <c r="D73" s="62"/>
      <c r="E73" s="62"/>
      <c r="F73" s="25"/>
      <c r="G73" s="65"/>
    </row>
    <row r="74" spans="1:7" x14ac:dyDescent="0.25">
      <c r="A74" s="172" t="s">
        <v>64</v>
      </c>
      <c r="B74" s="173"/>
      <c r="C74" s="173"/>
      <c r="D74" s="173"/>
      <c r="E74" s="173"/>
      <c r="F74" s="173"/>
      <c r="G74" s="174"/>
    </row>
    <row r="75" spans="1:7" x14ac:dyDescent="0.25">
      <c r="A75" s="69" t="s">
        <v>65</v>
      </c>
      <c r="B75" s="170" t="s">
        <v>66</v>
      </c>
      <c r="C75" s="170"/>
      <c r="D75" s="170"/>
      <c r="E75" s="170"/>
      <c r="F75" s="170"/>
      <c r="G75" s="69" t="s">
        <v>6</v>
      </c>
    </row>
    <row r="76" spans="1:7" ht="41.25" customHeight="1" x14ac:dyDescent="0.25">
      <c r="A76" s="69" t="s">
        <v>14</v>
      </c>
      <c r="B76" s="197" t="s">
        <v>244</v>
      </c>
      <c r="C76" s="197"/>
      <c r="D76" s="197"/>
      <c r="E76" s="197"/>
      <c r="F76" s="197"/>
      <c r="G76" s="16">
        <f>((5.5)*2*21)-6%*G40</f>
        <v>42.37439999999998</v>
      </c>
    </row>
    <row r="77" spans="1:7" ht="30" customHeight="1" x14ac:dyDescent="0.25">
      <c r="A77" s="69" t="s">
        <v>16</v>
      </c>
      <c r="B77" s="159" t="s">
        <v>243</v>
      </c>
      <c r="C77" s="159"/>
      <c r="D77" s="159"/>
      <c r="E77" s="159"/>
      <c r="F77" s="159"/>
      <c r="G77" s="16">
        <f>44.43*21</f>
        <v>933.03</v>
      </c>
    </row>
    <row r="78" spans="1:7" ht="15" customHeight="1" x14ac:dyDescent="0.25">
      <c r="A78" s="69" t="s">
        <v>19</v>
      </c>
      <c r="B78" s="193" t="s">
        <v>246</v>
      </c>
      <c r="C78" s="159"/>
      <c r="D78" s="159"/>
      <c r="E78" s="159"/>
      <c r="F78" s="159"/>
      <c r="G78" s="16">
        <v>241</v>
      </c>
    </row>
    <row r="79" spans="1:7" ht="15" customHeight="1" x14ac:dyDescent="0.25">
      <c r="A79" s="69" t="s">
        <v>21</v>
      </c>
      <c r="B79" s="193" t="s">
        <v>245</v>
      </c>
      <c r="C79" s="193"/>
      <c r="D79" s="193"/>
      <c r="E79" s="193"/>
      <c r="F79" s="193"/>
      <c r="G79" s="16">
        <v>37.47</v>
      </c>
    </row>
    <row r="80" spans="1:7" x14ac:dyDescent="0.25">
      <c r="A80" s="69" t="s">
        <v>38</v>
      </c>
      <c r="B80" s="193" t="s">
        <v>67</v>
      </c>
      <c r="C80" s="193"/>
      <c r="D80" s="193"/>
      <c r="E80" s="193"/>
      <c r="F80" s="193"/>
      <c r="G80" s="16">
        <v>0</v>
      </c>
    </row>
    <row r="81" spans="1:7" ht="15" customHeight="1" x14ac:dyDescent="0.25">
      <c r="A81" s="69" t="s">
        <v>40</v>
      </c>
      <c r="B81" s="193" t="s">
        <v>195</v>
      </c>
      <c r="C81" s="193"/>
      <c r="D81" s="193"/>
      <c r="E81" s="193"/>
      <c r="F81" s="193"/>
      <c r="G81" s="16">
        <v>2.75</v>
      </c>
    </row>
    <row r="82" spans="1:7" x14ac:dyDescent="0.25">
      <c r="A82" s="17"/>
      <c r="B82" s="162" t="s">
        <v>8</v>
      </c>
      <c r="C82" s="163"/>
      <c r="D82" s="163"/>
      <c r="E82" s="163"/>
      <c r="F82" s="164"/>
      <c r="G82" s="12">
        <f>SUM(G76:G81)</f>
        <v>1256.6243999999999</v>
      </c>
    </row>
    <row r="83" spans="1:7" ht="21" customHeight="1" x14ac:dyDescent="0.25">
      <c r="A83" s="147" t="s">
        <v>114</v>
      </c>
      <c r="B83" s="148"/>
      <c r="C83" s="148"/>
      <c r="D83" s="148"/>
      <c r="E83" s="148"/>
      <c r="F83" s="148"/>
      <c r="G83" s="149"/>
    </row>
    <row r="84" spans="1:7" ht="27" customHeight="1" x14ac:dyDescent="0.25">
      <c r="A84" s="147" t="s">
        <v>115</v>
      </c>
      <c r="B84" s="148"/>
      <c r="C84" s="148"/>
      <c r="D84" s="148"/>
      <c r="E84" s="148"/>
      <c r="F84" s="148"/>
      <c r="G84" s="149"/>
    </row>
    <row r="85" spans="1:7" x14ac:dyDescent="0.25">
      <c r="A85" s="61"/>
      <c r="B85" s="62"/>
      <c r="C85" s="62"/>
      <c r="D85" s="62"/>
      <c r="E85" s="62"/>
      <c r="F85" s="62"/>
      <c r="G85" s="63"/>
    </row>
    <row r="86" spans="1:7" ht="33.75" customHeight="1" x14ac:dyDescent="0.25">
      <c r="A86" s="58"/>
      <c r="B86" s="192" t="s">
        <v>68</v>
      </c>
      <c r="C86" s="192"/>
      <c r="D86" s="192"/>
      <c r="E86" s="192"/>
      <c r="F86" s="192"/>
      <c r="G86" s="26"/>
    </row>
    <row r="87" spans="1:7" x14ac:dyDescent="0.25">
      <c r="A87" s="69">
        <v>2</v>
      </c>
      <c r="B87" s="170" t="s">
        <v>69</v>
      </c>
      <c r="C87" s="170"/>
      <c r="D87" s="170"/>
      <c r="E87" s="170"/>
      <c r="F87" s="170"/>
      <c r="G87" s="69" t="s">
        <v>6</v>
      </c>
    </row>
    <row r="88" spans="1:7" x14ac:dyDescent="0.25">
      <c r="A88" s="69" t="s">
        <v>45</v>
      </c>
      <c r="B88" s="159" t="s">
        <v>70</v>
      </c>
      <c r="C88" s="159"/>
      <c r="D88" s="159"/>
      <c r="E88" s="159"/>
      <c r="F88" s="159"/>
      <c r="G88" s="16">
        <f>G54</f>
        <v>702.32659178645258</v>
      </c>
    </row>
    <row r="89" spans="1:7" x14ac:dyDescent="0.25">
      <c r="A89" s="69" t="s">
        <v>50</v>
      </c>
      <c r="B89" s="159" t="s">
        <v>51</v>
      </c>
      <c r="C89" s="159"/>
      <c r="D89" s="159"/>
      <c r="E89" s="159"/>
      <c r="F89" s="159"/>
      <c r="G89" s="16">
        <f>G69</f>
        <v>1563.7112300434271</v>
      </c>
    </row>
    <row r="90" spans="1:7" x14ac:dyDescent="0.25">
      <c r="A90" s="69" t="s">
        <v>65</v>
      </c>
      <c r="B90" s="159" t="s">
        <v>66</v>
      </c>
      <c r="C90" s="159"/>
      <c r="D90" s="159"/>
      <c r="E90" s="159"/>
      <c r="F90" s="159"/>
      <c r="G90" s="16">
        <f>G82</f>
        <v>1256.6243999999999</v>
      </c>
    </row>
    <row r="91" spans="1:7" x14ac:dyDescent="0.25">
      <c r="A91" s="27"/>
      <c r="B91" s="186" t="s">
        <v>8</v>
      </c>
      <c r="C91" s="187"/>
      <c r="D91" s="187"/>
      <c r="E91" s="187"/>
      <c r="F91" s="188"/>
      <c r="G91" s="12">
        <f>SUM(G88:G90)</f>
        <v>3522.6622218298799</v>
      </c>
    </row>
    <row r="92" spans="1:7" x14ac:dyDescent="0.25">
      <c r="A92" s="189"/>
      <c r="B92" s="190"/>
      <c r="C92" s="190"/>
      <c r="D92" s="190"/>
      <c r="E92" s="190"/>
      <c r="F92" s="190"/>
      <c r="G92" s="191"/>
    </row>
    <row r="93" spans="1:7" x14ac:dyDescent="0.25">
      <c r="A93" s="28"/>
      <c r="B93" s="169" t="s">
        <v>71</v>
      </c>
      <c r="C93" s="152"/>
      <c r="D93" s="152"/>
      <c r="E93" s="178"/>
      <c r="F93" s="19"/>
      <c r="G93" s="19"/>
    </row>
    <row r="94" spans="1:7" ht="24" x14ac:dyDescent="0.25">
      <c r="A94" s="69">
        <v>3</v>
      </c>
      <c r="B94" s="153" t="s">
        <v>72</v>
      </c>
      <c r="C94" s="154"/>
      <c r="D94" s="154"/>
      <c r="E94" s="155"/>
      <c r="F94" s="70" t="s">
        <v>52</v>
      </c>
      <c r="G94" s="69" t="s">
        <v>6</v>
      </c>
    </row>
    <row r="95" spans="1:7" ht="37.5" customHeight="1" x14ac:dyDescent="0.25">
      <c r="A95" s="59" t="s">
        <v>14</v>
      </c>
      <c r="B95" s="166" t="s">
        <v>248</v>
      </c>
      <c r="C95" s="167"/>
      <c r="D95" s="167"/>
      <c r="E95" s="168"/>
      <c r="F95" s="29">
        <f>5.5%*1*1/12</f>
        <v>4.5833333333333334E-3</v>
      </c>
      <c r="G95" s="16">
        <f>F95*(G46+G54)</f>
        <v>18.975222424891243</v>
      </c>
    </row>
    <row r="96" spans="1:7" ht="21" customHeight="1" x14ac:dyDescent="0.25">
      <c r="A96" s="59" t="s">
        <v>16</v>
      </c>
      <c r="B96" s="166" t="s">
        <v>249</v>
      </c>
      <c r="C96" s="167"/>
      <c r="D96" s="167"/>
      <c r="E96" s="168"/>
      <c r="F96" s="136">
        <f>F68*F95</f>
        <v>3.6666666666666667E-4</v>
      </c>
      <c r="G96" s="16">
        <f>F96*(G46+G54)</f>
        <v>1.5180177939912995</v>
      </c>
    </row>
    <row r="97" spans="1:7" ht="49.5" customHeight="1" x14ac:dyDescent="0.25">
      <c r="A97" s="69" t="s">
        <v>19</v>
      </c>
      <c r="B97" s="166" t="s">
        <v>250</v>
      </c>
      <c r="C97" s="167"/>
      <c r="D97" s="167"/>
      <c r="E97" s="168"/>
      <c r="F97" s="29">
        <f xml:space="preserve"> (40%)*F95</f>
        <v>1.8333333333333335E-3</v>
      </c>
      <c r="G97" s="16">
        <f>F97*(G46+G54)</f>
        <v>7.590088969956498</v>
      </c>
    </row>
    <row r="98" spans="1:7" ht="48" customHeight="1" x14ac:dyDescent="0.25">
      <c r="A98" s="69" t="s">
        <v>21</v>
      </c>
      <c r="B98" s="166" t="s">
        <v>251</v>
      </c>
      <c r="C98" s="167"/>
      <c r="D98" s="167"/>
      <c r="E98" s="168"/>
      <c r="F98" s="29">
        <f>(7/30)/12</f>
        <v>1.9444444444444445E-2</v>
      </c>
      <c r="G98" s="16">
        <f>F98*(G46+G54)</f>
        <v>80.500943620750732</v>
      </c>
    </row>
    <row r="99" spans="1:7" ht="39" customHeight="1" x14ac:dyDescent="0.25">
      <c r="A99" s="66" t="s">
        <v>38</v>
      </c>
      <c r="B99" s="166" t="s">
        <v>252</v>
      </c>
      <c r="C99" s="167"/>
      <c r="D99" s="167"/>
      <c r="E99" s="168"/>
      <c r="F99" s="29">
        <f>F69*F98</f>
        <v>7.1555555555555565E-3</v>
      </c>
      <c r="G99" s="30">
        <f>F99*(G46+G54)</f>
        <v>29.624347252436273</v>
      </c>
    </row>
    <row r="100" spans="1:7" ht="29.25" customHeight="1" x14ac:dyDescent="0.25">
      <c r="A100" s="69" t="s">
        <v>40</v>
      </c>
      <c r="B100" s="172" t="s">
        <v>247</v>
      </c>
      <c r="C100" s="167"/>
      <c r="D100" s="167"/>
      <c r="E100" s="168"/>
      <c r="F100" s="29">
        <f>(1+(1/12)+(1/3/12))*0.08*0.4</f>
        <v>3.5555555555555556E-2</v>
      </c>
      <c r="G100" s="92">
        <f>F100*(G46+G54)</f>
        <v>147.20172547794419</v>
      </c>
    </row>
    <row r="101" spans="1:7" x14ac:dyDescent="0.25">
      <c r="A101" s="31"/>
      <c r="B101" s="183" t="s">
        <v>8</v>
      </c>
      <c r="C101" s="184"/>
      <c r="D101" s="184"/>
      <c r="E101" s="185"/>
      <c r="F101" s="32">
        <f>SUM(F95:F100)</f>
        <v>6.8938888888888883E-2</v>
      </c>
      <c r="G101" s="12">
        <f>SUM(G95:G100)</f>
        <v>285.41034553997025</v>
      </c>
    </row>
    <row r="102" spans="1:7" x14ac:dyDescent="0.25">
      <c r="A102" s="33"/>
      <c r="B102" s="34"/>
      <c r="C102" s="34"/>
      <c r="D102" s="34"/>
      <c r="E102" s="34"/>
      <c r="F102" s="34"/>
      <c r="G102" s="35"/>
    </row>
    <row r="103" spans="1:7" x14ac:dyDescent="0.25">
      <c r="A103" s="58"/>
      <c r="B103" s="169" t="s">
        <v>73</v>
      </c>
      <c r="C103" s="152"/>
      <c r="D103" s="152"/>
      <c r="E103" s="178"/>
      <c r="F103" s="19"/>
      <c r="G103" s="19"/>
    </row>
    <row r="104" spans="1:7" ht="37.5" customHeight="1" x14ac:dyDescent="0.25">
      <c r="A104" s="179" t="s">
        <v>116</v>
      </c>
      <c r="B104" s="148"/>
      <c r="C104" s="148"/>
      <c r="D104" s="148"/>
      <c r="E104" s="148"/>
      <c r="F104" s="148"/>
      <c r="G104" s="149"/>
    </row>
    <row r="105" spans="1:7" x14ac:dyDescent="0.25">
      <c r="A105" s="175"/>
      <c r="B105" s="176"/>
      <c r="C105" s="176"/>
      <c r="D105" s="176"/>
      <c r="E105" s="176"/>
      <c r="F105" s="176"/>
      <c r="G105" s="177"/>
    </row>
    <row r="106" spans="1:7" x14ac:dyDescent="0.25">
      <c r="A106" s="180" t="s">
        <v>74</v>
      </c>
      <c r="B106" s="181"/>
      <c r="C106" s="181"/>
      <c r="D106" s="181"/>
      <c r="E106" s="181"/>
      <c r="F106" s="181"/>
      <c r="G106" s="182"/>
    </row>
    <row r="107" spans="1:7" ht="24" x14ac:dyDescent="0.25">
      <c r="A107" s="64" t="s">
        <v>75</v>
      </c>
      <c r="B107" s="153" t="s">
        <v>76</v>
      </c>
      <c r="C107" s="154"/>
      <c r="D107" s="154"/>
      <c r="E107" s="154"/>
      <c r="F107" s="70" t="s">
        <v>52</v>
      </c>
      <c r="G107" s="69" t="s">
        <v>6</v>
      </c>
    </row>
    <row r="108" spans="1:7" x14ac:dyDescent="0.25">
      <c r="A108" s="69" t="s">
        <v>14</v>
      </c>
      <c r="B108" s="166" t="s">
        <v>77</v>
      </c>
      <c r="C108" s="167"/>
      <c r="D108" s="167"/>
      <c r="E108" s="167"/>
      <c r="F108" s="20">
        <f>(8.33%+(8.33%*1/3))/12</f>
        <v>9.2555555555555551E-3</v>
      </c>
      <c r="G108" s="16">
        <f>F108*G46</f>
        <v>31.818026375053844</v>
      </c>
    </row>
    <row r="109" spans="1:7" x14ac:dyDescent="0.25">
      <c r="A109" s="69" t="s">
        <v>16</v>
      </c>
      <c r="B109" s="166" t="s">
        <v>117</v>
      </c>
      <c r="C109" s="167"/>
      <c r="D109" s="167"/>
      <c r="E109" s="167"/>
      <c r="F109" s="20">
        <f>(1/12)/30</f>
        <v>2.7777777777777775E-3</v>
      </c>
      <c r="G109" s="16">
        <f>F109*G46</f>
        <v>9.5492276035575756</v>
      </c>
    </row>
    <row r="110" spans="1:7" x14ac:dyDescent="0.25">
      <c r="A110" s="69" t="s">
        <v>19</v>
      </c>
      <c r="B110" s="166" t="s">
        <v>118</v>
      </c>
      <c r="C110" s="167"/>
      <c r="D110" s="167"/>
      <c r="E110" s="167"/>
      <c r="F110" s="36">
        <f>1.5%/12</f>
        <v>1.25E-3</v>
      </c>
      <c r="G110" s="16">
        <f>F110*G46</f>
        <v>4.2971524216009094</v>
      </c>
    </row>
    <row r="111" spans="1:7" ht="33" customHeight="1" x14ac:dyDescent="0.25">
      <c r="A111" s="69" t="s">
        <v>21</v>
      </c>
      <c r="B111" s="166" t="s">
        <v>119</v>
      </c>
      <c r="C111" s="167"/>
      <c r="D111" s="167"/>
      <c r="E111" s="167"/>
      <c r="F111" s="29">
        <f>8%/12/2</f>
        <v>3.3333333333333335E-3</v>
      </c>
      <c r="G111" s="16">
        <f>F111*G46</f>
        <v>11.459073124269093</v>
      </c>
    </row>
    <row r="112" spans="1:7" ht="28.5" customHeight="1" x14ac:dyDescent="0.25">
      <c r="A112" s="69" t="s">
        <v>38</v>
      </c>
      <c r="B112" s="166" t="s">
        <v>120</v>
      </c>
      <c r="C112" s="167"/>
      <c r="D112" s="167"/>
      <c r="E112" s="167"/>
      <c r="F112" s="37">
        <f>1.5%/12</f>
        <v>1.25E-3</v>
      </c>
      <c r="G112" s="16">
        <f>F112*G46</f>
        <v>4.2971524216009094</v>
      </c>
    </row>
    <row r="113" spans="1:7" x14ac:dyDescent="0.25">
      <c r="A113" s="69" t="s">
        <v>40</v>
      </c>
      <c r="B113" s="166" t="s">
        <v>78</v>
      </c>
      <c r="C113" s="167"/>
      <c r="D113" s="167"/>
      <c r="E113" s="167"/>
      <c r="F113" s="20">
        <f>(5/12)/30</f>
        <v>1.388888888888889E-2</v>
      </c>
      <c r="G113" s="16">
        <f>F113*G46</f>
        <v>47.746138017787885</v>
      </c>
    </row>
    <row r="114" spans="1:7" x14ac:dyDescent="0.25">
      <c r="A114" s="31"/>
      <c r="B114" s="162" t="s">
        <v>8</v>
      </c>
      <c r="C114" s="163"/>
      <c r="D114" s="163"/>
      <c r="E114" s="164"/>
      <c r="F114" s="38">
        <f>SUM(F108:F113)</f>
        <v>3.1755555555555558E-2</v>
      </c>
      <c r="G114" s="12">
        <f>SUM(G108:G113)</f>
        <v>109.16676996387022</v>
      </c>
    </row>
    <row r="115" spans="1:7" ht="44.25" customHeight="1" x14ac:dyDescent="0.25">
      <c r="A115" s="147" t="s">
        <v>121</v>
      </c>
      <c r="B115" s="148"/>
      <c r="C115" s="148"/>
      <c r="D115" s="148"/>
      <c r="E115" s="148"/>
      <c r="F115" s="148"/>
      <c r="G115" s="149"/>
    </row>
    <row r="116" spans="1:7" x14ac:dyDescent="0.25">
      <c r="A116" s="153"/>
      <c r="B116" s="154"/>
      <c r="C116" s="154"/>
      <c r="D116" s="154"/>
      <c r="E116" s="154"/>
      <c r="F116" s="154"/>
      <c r="G116" s="155"/>
    </row>
    <row r="117" spans="1:7" x14ac:dyDescent="0.25">
      <c r="A117" s="172" t="s">
        <v>79</v>
      </c>
      <c r="B117" s="173"/>
      <c r="C117" s="173"/>
      <c r="D117" s="173"/>
      <c r="E117" s="173"/>
      <c r="F117" s="173"/>
      <c r="G117" s="174"/>
    </row>
    <row r="118" spans="1:7" ht="24" x14ac:dyDescent="0.25">
      <c r="A118" s="69" t="s">
        <v>80</v>
      </c>
      <c r="B118" s="153" t="s">
        <v>81</v>
      </c>
      <c r="C118" s="154"/>
      <c r="D118" s="154"/>
      <c r="E118" s="155"/>
      <c r="F118" s="70" t="s">
        <v>52</v>
      </c>
      <c r="G118" s="69" t="s">
        <v>6</v>
      </c>
    </row>
    <row r="119" spans="1:7" x14ac:dyDescent="0.25">
      <c r="A119" s="69" t="s">
        <v>14</v>
      </c>
      <c r="B119" s="166" t="s">
        <v>82</v>
      </c>
      <c r="C119" s="167"/>
      <c r="D119" s="167"/>
      <c r="E119" s="168"/>
      <c r="F119" s="39"/>
      <c r="G119" s="16"/>
    </row>
    <row r="120" spans="1:7" x14ac:dyDescent="0.25">
      <c r="A120" s="58"/>
      <c r="B120" s="162" t="s">
        <v>8</v>
      </c>
      <c r="C120" s="163"/>
      <c r="D120" s="163"/>
      <c r="E120" s="164"/>
      <c r="F120" s="40"/>
      <c r="G120" s="41"/>
    </row>
    <row r="121" spans="1:7" ht="24.75" customHeight="1" x14ac:dyDescent="0.25">
      <c r="A121" s="147" t="s">
        <v>122</v>
      </c>
      <c r="B121" s="148"/>
      <c r="C121" s="148"/>
      <c r="D121" s="148"/>
      <c r="E121" s="148"/>
      <c r="F121" s="148"/>
      <c r="G121" s="149"/>
    </row>
    <row r="122" spans="1:7" x14ac:dyDescent="0.25">
      <c r="A122" s="175"/>
      <c r="B122" s="176"/>
      <c r="C122" s="176"/>
      <c r="D122" s="176"/>
      <c r="E122" s="176"/>
      <c r="F122" s="176"/>
      <c r="G122" s="177"/>
    </row>
    <row r="123" spans="1:7" x14ac:dyDescent="0.25">
      <c r="A123" s="58"/>
      <c r="B123" s="169" t="s">
        <v>83</v>
      </c>
      <c r="C123" s="152"/>
      <c r="D123" s="152"/>
      <c r="E123" s="152"/>
      <c r="F123" s="152"/>
      <c r="G123" s="19"/>
    </row>
    <row r="124" spans="1:7" ht="24" x14ac:dyDescent="0.25">
      <c r="A124" s="69">
        <v>4</v>
      </c>
      <c r="B124" s="170" t="s">
        <v>84</v>
      </c>
      <c r="C124" s="170"/>
      <c r="D124" s="170"/>
      <c r="E124" s="170"/>
      <c r="F124" s="70" t="s">
        <v>52</v>
      </c>
      <c r="G124" s="69" t="s">
        <v>6</v>
      </c>
    </row>
    <row r="125" spans="1:7" x14ac:dyDescent="0.25">
      <c r="A125" s="69" t="s">
        <v>75</v>
      </c>
      <c r="B125" s="159" t="s">
        <v>85</v>
      </c>
      <c r="C125" s="159"/>
      <c r="D125" s="159"/>
      <c r="E125" s="159"/>
      <c r="F125" s="20">
        <f>F114</f>
        <v>3.1755555555555558E-2</v>
      </c>
      <c r="G125" s="23">
        <f>G114</f>
        <v>109.16676996387022</v>
      </c>
    </row>
    <row r="126" spans="1:7" x14ac:dyDescent="0.25">
      <c r="A126" s="69" t="s">
        <v>80</v>
      </c>
      <c r="B126" s="159" t="s">
        <v>81</v>
      </c>
      <c r="C126" s="159"/>
      <c r="D126" s="159"/>
      <c r="E126" s="159"/>
      <c r="F126" s="42"/>
      <c r="G126" s="43"/>
    </row>
    <row r="127" spans="1:7" x14ac:dyDescent="0.25">
      <c r="A127" s="44"/>
      <c r="B127" s="162" t="s">
        <v>8</v>
      </c>
      <c r="C127" s="163"/>
      <c r="D127" s="163"/>
      <c r="E127" s="164"/>
      <c r="F127" s="21"/>
      <c r="G127" s="12">
        <f>SUM(G125:G126)</f>
        <v>109.16676996387022</v>
      </c>
    </row>
    <row r="128" spans="1:7" x14ac:dyDescent="0.25">
      <c r="A128" s="64"/>
      <c r="B128" s="67"/>
      <c r="C128" s="67"/>
      <c r="D128" s="67"/>
      <c r="E128" s="67"/>
      <c r="F128" s="25"/>
      <c r="G128" s="45"/>
    </row>
    <row r="129" spans="1:7" x14ac:dyDescent="0.25">
      <c r="A129" s="58"/>
      <c r="B129" s="169" t="s">
        <v>86</v>
      </c>
      <c r="C129" s="152"/>
      <c r="D129" s="152"/>
      <c r="E129" s="152"/>
      <c r="F129" s="152"/>
      <c r="G129" s="19"/>
    </row>
    <row r="130" spans="1:7" x14ac:dyDescent="0.25">
      <c r="A130" s="69">
        <v>5</v>
      </c>
      <c r="B130" s="172" t="s">
        <v>87</v>
      </c>
      <c r="C130" s="173"/>
      <c r="D130" s="173"/>
      <c r="E130" s="173"/>
      <c r="F130" s="174"/>
      <c r="G130" s="69" t="s">
        <v>6</v>
      </c>
    </row>
    <row r="131" spans="1:7" x14ac:dyDescent="0.25">
      <c r="A131" s="69" t="s">
        <v>14</v>
      </c>
      <c r="B131" s="166" t="s">
        <v>88</v>
      </c>
      <c r="C131" s="167"/>
      <c r="D131" s="167"/>
      <c r="E131" s="167"/>
      <c r="F131" s="168"/>
      <c r="G131" s="46">
        <f>Uniformes!AB22</f>
        <v>251.39</v>
      </c>
    </row>
    <row r="132" spans="1:7" x14ac:dyDescent="0.25">
      <c r="A132" s="69" t="s">
        <v>16</v>
      </c>
      <c r="B132" s="166" t="s">
        <v>199</v>
      </c>
      <c r="C132" s="167"/>
      <c r="D132" s="167"/>
      <c r="E132" s="167"/>
      <c r="F132" s="168"/>
      <c r="G132" s="46"/>
    </row>
    <row r="133" spans="1:7" x14ac:dyDescent="0.25">
      <c r="A133" s="64" t="s">
        <v>19</v>
      </c>
      <c r="B133" s="166" t="s">
        <v>200</v>
      </c>
      <c r="C133" s="167"/>
      <c r="D133" s="167"/>
      <c r="E133" s="167"/>
      <c r="F133" s="168"/>
      <c r="G133" s="46">
        <v>0</v>
      </c>
    </row>
    <row r="134" spans="1:7" x14ac:dyDescent="0.25">
      <c r="A134" s="64" t="s">
        <v>21</v>
      </c>
      <c r="B134" s="166" t="s">
        <v>101</v>
      </c>
      <c r="C134" s="167"/>
      <c r="D134" s="167"/>
      <c r="E134" s="167"/>
      <c r="F134" s="168"/>
      <c r="G134" s="47">
        <f>'[1] EPI Pesquisa'!L25</f>
        <v>0</v>
      </c>
    </row>
    <row r="135" spans="1:7" x14ac:dyDescent="0.25">
      <c r="A135" s="58"/>
      <c r="B135" s="162" t="s">
        <v>8</v>
      </c>
      <c r="C135" s="163"/>
      <c r="D135" s="163"/>
      <c r="E135" s="163"/>
      <c r="F135" s="164"/>
      <c r="G135" s="12">
        <f>SUM(G131:G134)</f>
        <v>251.39</v>
      </c>
    </row>
    <row r="136" spans="1:7" ht="26.25" customHeight="1" x14ac:dyDescent="0.25">
      <c r="A136" s="147" t="s">
        <v>123</v>
      </c>
      <c r="B136" s="148"/>
      <c r="C136" s="148"/>
      <c r="D136" s="148"/>
      <c r="E136" s="148"/>
      <c r="F136" s="148"/>
      <c r="G136" s="149"/>
    </row>
    <row r="137" spans="1:7" x14ac:dyDescent="0.25">
      <c r="A137" s="48"/>
      <c r="B137" s="34"/>
      <c r="C137" s="34"/>
      <c r="D137" s="34"/>
      <c r="E137" s="34"/>
      <c r="F137" s="25"/>
      <c r="G137" s="49"/>
    </row>
    <row r="138" spans="1:7" x14ac:dyDescent="0.25">
      <c r="A138" s="58"/>
      <c r="B138" s="169" t="s">
        <v>89</v>
      </c>
      <c r="C138" s="152"/>
      <c r="D138" s="152"/>
      <c r="E138" s="152"/>
      <c r="F138" s="152"/>
      <c r="G138" s="19"/>
    </row>
    <row r="139" spans="1:7" x14ac:dyDescent="0.25">
      <c r="A139" s="69">
        <v>6</v>
      </c>
      <c r="B139" s="170" t="s">
        <v>90</v>
      </c>
      <c r="C139" s="170"/>
      <c r="D139" s="170"/>
      <c r="E139" s="171" t="s">
        <v>52</v>
      </c>
      <c r="F139" s="171"/>
      <c r="G139" s="50" t="s">
        <v>6</v>
      </c>
    </row>
    <row r="140" spans="1:7" x14ac:dyDescent="0.25">
      <c r="A140" s="69" t="s">
        <v>14</v>
      </c>
      <c r="B140" s="159" t="s">
        <v>91</v>
      </c>
      <c r="C140" s="159"/>
      <c r="D140" s="159"/>
      <c r="E140" s="160">
        <v>0.05</v>
      </c>
      <c r="F140" s="161"/>
      <c r="G140" s="47">
        <f>(G46+G91+G101+G127+G135)*E140</f>
        <v>380.31756373072244</v>
      </c>
    </row>
    <row r="141" spans="1:7" x14ac:dyDescent="0.25">
      <c r="A141" s="69" t="s">
        <v>16</v>
      </c>
      <c r="B141" s="159" t="s">
        <v>92</v>
      </c>
      <c r="C141" s="159"/>
      <c r="D141" s="159"/>
      <c r="E141" s="160">
        <v>0.05</v>
      </c>
      <c r="F141" s="161"/>
      <c r="G141" s="47">
        <f>(G46+G91+G101+G127+G135+G140)*E141</f>
        <v>399.33344191725854</v>
      </c>
    </row>
    <row r="142" spans="1:7" x14ac:dyDescent="0.25">
      <c r="A142" s="69" t="s">
        <v>19</v>
      </c>
      <c r="B142" s="159" t="s">
        <v>93</v>
      </c>
      <c r="C142" s="159"/>
      <c r="D142" s="159"/>
      <c r="E142" s="160">
        <f>SUM(E143:F144)</f>
        <v>8.6499999999999994E-2</v>
      </c>
      <c r="F142" s="161"/>
      <c r="G142" s="43"/>
    </row>
    <row r="143" spans="1:7" ht="15" customHeight="1" x14ac:dyDescent="0.25">
      <c r="A143" s="39"/>
      <c r="B143" s="156" t="s">
        <v>196</v>
      </c>
      <c r="C143" s="156"/>
      <c r="D143" s="156"/>
      <c r="E143" s="157">
        <f>0.65%+3%</f>
        <v>3.6499999999999998E-2</v>
      </c>
      <c r="F143" s="158"/>
      <c r="G143" s="47">
        <f>E143*G158</f>
        <v>335.07288804551575</v>
      </c>
    </row>
    <row r="144" spans="1:7" x14ac:dyDescent="0.25">
      <c r="A144" s="39"/>
      <c r="B144" s="159" t="s">
        <v>124</v>
      </c>
      <c r="C144" s="159"/>
      <c r="D144" s="159"/>
      <c r="E144" s="160">
        <v>0.05</v>
      </c>
      <c r="F144" s="161"/>
      <c r="G144" s="90">
        <f>E144*G158</f>
        <v>459.00395622673398</v>
      </c>
    </row>
    <row r="145" spans="1:7" x14ac:dyDescent="0.25">
      <c r="A145" s="58"/>
      <c r="B145" s="162" t="s">
        <v>8</v>
      </c>
      <c r="C145" s="163"/>
      <c r="D145" s="164"/>
      <c r="E145" s="165">
        <f>E140+E141+E142</f>
        <v>0.1865</v>
      </c>
      <c r="F145" s="164"/>
      <c r="G145" s="51">
        <f>SUM(G140:G144)</f>
        <v>1573.7278499202307</v>
      </c>
    </row>
    <row r="146" spans="1:7" ht="17.25" customHeight="1" x14ac:dyDescent="0.25">
      <c r="A146" s="147" t="s">
        <v>125</v>
      </c>
      <c r="B146" s="148"/>
      <c r="C146" s="148"/>
      <c r="D146" s="148"/>
      <c r="E146" s="148"/>
      <c r="F146" s="148"/>
      <c r="G146" s="149"/>
    </row>
    <row r="147" spans="1:7" x14ac:dyDescent="0.25">
      <c r="A147" s="147" t="s">
        <v>126</v>
      </c>
      <c r="B147" s="148"/>
      <c r="C147" s="148"/>
      <c r="D147" s="148"/>
      <c r="E147" s="148"/>
      <c r="F147" s="148"/>
      <c r="G147" s="149"/>
    </row>
    <row r="148" spans="1:7" x14ac:dyDescent="0.25">
      <c r="A148" s="150"/>
      <c r="B148" s="150"/>
      <c r="C148" s="150"/>
      <c r="D148" s="150"/>
      <c r="E148" s="150"/>
      <c r="F148" s="150"/>
      <c r="G148" s="151"/>
    </row>
    <row r="149" spans="1:7" x14ac:dyDescent="0.25">
      <c r="A149" s="44"/>
      <c r="B149" s="152" t="s">
        <v>94</v>
      </c>
      <c r="C149" s="152"/>
      <c r="D149" s="152"/>
      <c r="E149" s="152"/>
      <c r="F149" s="152"/>
      <c r="G149" s="19"/>
    </row>
    <row r="150" spans="1:7" x14ac:dyDescent="0.25">
      <c r="A150" s="52"/>
      <c r="B150" s="153" t="s">
        <v>95</v>
      </c>
      <c r="C150" s="154"/>
      <c r="D150" s="154"/>
      <c r="E150" s="154"/>
      <c r="F150" s="155"/>
      <c r="G150" s="52" t="s">
        <v>96</v>
      </c>
    </row>
    <row r="151" spans="1:7" x14ac:dyDescent="0.25">
      <c r="A151" s="69" t="s">
        <v>14</v>
      </c>
      <c r="B151" s="141" t="s">
        <v>127</v>
      </c>
      <c r="C151" s="142"/>
      <c r="D151" s="142"/>
      <c r="E151" s="142"/>
      <c r="F151" s="143"/>
      <c r="G151" s="53">
        <f>G46</f>
        <v>3437.7219372807276</v>
      </c>
    </row>
    <row r="152" spans="1:7" x14ac:dyDescent="0.25">
      <c r="A152" s="69" t="s">
        <v>16</v>
      </c>
      <c r="B152" s="141" t="s">
        <v>128</v>
      </c>
      <c r="C152" s="142"/>
      <c r="D152" s="142"/>
      <c r="E152" s="142"/>
      <c r="F152" s="143"/>
      <c r="G152" s="53">
        <f>G91</f>
        <v>3522.6622218298799</v>
      </c>
    </row>
    <row r="153" spans="1:7" x14ac:dyDescent="0.25">
      <c r="A153" s="69" t="s">
        <v>19</v>
      </c>
      <c r="B153" s="141" t="s">
        <v>129</v>
      </c>
      <c r="C153" s="142"/>
      <c r="D153" s="142"/>
      <c r="E153" s="142"/>
      <c r="F153" s="143"/>
      <c r="G153" s="53">
        <f>G101</f>
        <v>285.41034553997025</v>
      </c>
    </row>
    <row r="154" spans="1:7" x14ac:dyDescent="0.25">
      <c r="A154" s="69" t="s">
        <v>21</v>
      </c>
      <c r="B154" s="141" t="s">
        <v>130</v>
      </c>
      <c r="C154" s="142"/>
      <c r="D154" s="142"/>
      <c r="E154" s="142"/>
      <c r="F154" s="143"/>
      <c r="G154" s="53">
        <f>G127</f>
        <v>109.16676996387022</v>
      </c>
    </row>
    <row r="155" spans="1:7" x14ac:dyDescent="0.25">
      <c r="A155" s="69" t="s">
        <v>38</v>
      </c>
      <c r="B155" s="141" t="s">
        <v>131</v>
      </c>
      <c r="C155" s="142"/>
      <c r="D155" s="142"/>
      <c r="E155" s="142"/>
      <c r="F155" s="143"/>
      <c r="G155" s="53">
        <f>G135</f>
        <v>251.39</v>
      </c>
    </row>
    <row r="156" spans="1:7" x14ac:dyDescent="0.25">
      <c r="A156" s="54"/>
      <c r="B156" s="144" t="s">
        <v>97</v>
      </c>
      <c r="C156" s="145"/>
      <c r="D156" s="145"/>
      <c r="E156" s="145"/>
      <c r="F156" s="146"/>
      <c r="G156" s="53">
        <f>SUM(G151:G155)</f>
        <v>7606.3512746144479</v>
      </c>
    </row>
    <row r="157" spans="1:7" x14ac:dyDescent="0.25">
      <c r="A157" s="55" t="s">
        <v>40</v>
      </c>
      <c r="B157" s="141" t="s">
        <v>132</v>
      </c>
      <c r="C157" s="142"/>
      <c r="D157" s="142"/>
      <c r="E157" s="142"/>
      <c r="F157" s="143"/>
      <c r="G157" s="91">
        <f>G145</f>
        <v>1573.7278499202307</v>
      </c>
    </row>
    <row r="158" spans="1:7" ht="15" customHeight="1" x14ac:dyDescent="0.25">
      <c r="A158" s="56"/>
      <c r="B158" s="138" t="s">
        <v>98</v>
      </c>
      <c r="C158" s="139"/>
      <c r="D158" s="139"/>
      <c r="E158" s="139"/>
      <c r="F158" s="140"/>
      <c r="G158" s="91">
        <f>(G140+G141+G156)/(1-E142)</f>
        <v>9180.0791245346791</v>
      </c>
    </row>
    <row r="159" spans="1:7" x14ac:dyDescent="0.25">
      <c r="G159" s="137">
        <v>9180.08</v>
      </c>
    </row>
  </sheetData>
  <mergeCells count="166">
    <mergeCell ref="B158:F158"/>
    <mergeCell ref="B152:F152"/>
    <mergeCell ref="B153:F153"/>
    <mergeCell ref="B154:F154"/>
    <mergeCell ref="B155:F155"/>
    <mergeCell ref="B156:F156"/>
    <mergeCell ref="B157:F157"/>
    <mergeCell ref="A146:G146"/>
    <mergeCell ref="A147:G147"/>
    <mergeCell ref="A148:G148"/>
    <mergeCell ref="B149:F149"/>
    <mergeCell ref="B150:F150"/>
    <mergeCell ref="B151:F151"/>
    <mergeCell ref="B143:D143"/>
    <mergeCell ref="E143:F143"/>
    <mergeCell ref="B144:D144"/>
    <mergeCell ref="E144:F144"/>
    <mergeCell ref="B145:D145"/>
    <mergeCell ref="E145:F145"/>
    <mergeCell ref="B140:D140"/>
    <mergeCell ref="E140:F140"/>
    <mergeCell ref="B141:D141"/>
    <mergeCell ref="E141:F141"/>
    <mergeCell ref="B142:D142"/>
    <mergeCell ref="E142:F142"/>
    <mergeCell ref="B134:F134"/>
    <mergeCell ref="B135:F135"/>
    <mergeCell ref="A136:G136"/>
    <mergeCell ref="B138:F138"/>
    <mergeCell ref="B139:D139"/>
    <mergeCell ref="E139:F139"/>
    <mergeCell ref="B127:E127"/>
    <mergeCell ref="B129:F129"/>
    <mergeCell ref="B130:F130"/>
    <mergeCell ref="B131:F131"/>
    <mergeCell ref="B132:F132"/>
    <mergeCell ref="B133:F133"/>
    <mergeCell ref="A121:G121"/>
    <mergeCell ref="A122:G122"/>
    <mergeCell ref="B123:F123"/>
    <mergeCell ref="B124:E124"/>
    <mergeCell ref="B125:E125"/>
    <mergeCell ref="B126:E126"/>
    <mergeCell ref="A115:G115"/>
    <mergeCell ref="A116:G116"/>
    <mergeCell ref="A117:G117"/>
    <mergeCell ref="B118:E118"/>
    <mergeCell ref="B119:E119"/>
    <mergeCell ref="B120:E120"/>
    <mergeCell ref="B109:E109"/>
    <mergeCell ref="B110:E110"/>
    <mergeCell ref="B111:E111"/>
    <mergeCell ref="B112:E112"/>
    <mergeCell ref="B113:E113"/>
    <mergeCell ref="B114:E114"/>
    <mergeCell ref="B103:E103"/>
    <mergeCell ref="A104:G104"/>
    <mergeCell ref="A105:G105"/>
    <mergeCell ref="A106:G106"/>
    <mergeCell ref="B107:E107"/>
    <mergeCell ref="B108:E108"/>
    <mergeCell ref="B96:E96"/>
    <mergeCell ref="B97:E97"/>
    <mergeCell ref="B98:E98"/>
    <mergeCell ref="B99:E99"/>
    <mergeCell ref="B100:E100"/>
    <mergeCell ref="B101:E101"/>
    <mergeCell ref="B90:F90"/>
    <mergeCell ref="B91:F91"/>
    <mergeCell ref="A92:G92"/>
    <mergeCell ref="B93:E93"/>
    <mergeCell ref="B94:E94"/>
    <mergeCell ref="B95:E95"/>
    <mergeCell ref="A83:G83"/>
    <mergeCell ref="A84:G84"/>
    <mergeCell ref="B86:F86"/>
    <mergeCell ref="B87:F87"/>
    <mergeCell ref="B88:F88"/>
    <mergeCell ref="B89:F89"/>
    <mergeCell ref="B77:F77"/>
    <mergeCell ref="B78:F78"/>
    <mergeCell ref="B79:F79"/>
    <mergeCell ref="B80:F80"/>
    <mergeCell ref="B81:F81"/>
    <mergeCell ref="B82:F82"/>
    <mergeCell ref="A70:G70"/>
    <mergeCell ref="A71:G71"/>
    <mergeCell ref="A72:G72"/>
    <mergeCell ref="A74:G74"/>
    <mergeCell ref="B75:F75"/>
    <mergeCell ref="B76:F76"/>
    <mergeCell ref="B64:E64"/>
    <mergeCell ref="B65:E65"/>
    <mergeCell ref="B66:E66"/>
    <mergeCell ref="B67:E67"/>
    <mergeCell ref="B68:E68"/>
    <mergeCell ref="B69:E69"/>
    <mergeCell ref="A57:G57"/>
    <mergeCell ref="A59:G59"/>
    <mergeCell ref="B60:E60"/>
    <mergeCell ref="B61:E61"/>
    <mergeCell ref="B62:E62"/>
    <mergeCell ref="B63:E63"/>
    <mergeCell ref="B51:F51"/>
    <mergeCell ref="B52:E52"/>
    <mergeCell ref="B53:E53"/>
    <mergeCell ref="B54:E54"/>
    <mergeCell ref="A55:G55"/>
    <mergeCell ref="A56:G56"/>
    <mergeCell ref="B45:E45"/>
    <mergeCell ref="B46:E46"/>
    <mergeCell ref="A47:G47"/>
    <mergeCell ref="A48:G48"/>
    <mergeCell ref="B49:E49"/>
    <mergeCell ref="A50:G50"/>
    <mergeCell ref="B39:E39"/>
    <mergeCell ref="B40:E40"/>
    <mergeCell ref="B41:E41"/>
    <mergeCell ref="B42:E42"/>
    <mergeCell ref="B43:E43"/>
    <mergeCell ref="B44:E44"/>
    <mergeCell ref="B35:E35"/>
    <mergeCell ref="F35:G35"/>
    <mergeCell ref="B36:E36"/>
    <mergeCell ref="F36:G36"/>
    <mergeCell ref="A37:G37"/>
    <mergeCell ref="B38:E38"/>
    <mergeCell ref="A31:G31"/>
    <mergeCell ref="B32:E32"/>
    <mergeCell ref="F32:G32"/>
    <mergeCell ref="B33:E33"/>
    <mergeCell ref="F33:G33"/>
    <mergeCell ref="B34:E34"/>
    <mergeCell ref="F34:G34"/>
    <mergeCell ref="A25:D25"/>
    <mergeCell ref="F25:G25"/>
    <mergeCell ref="A26:G26"/>
    <mergeCell ref="A27:G27"/>
    <mergeCell ref="A29:G29"/>
    <mergeCell ref="A30:G30"/>
    <mergeCell ref="B20:E20"/>
    <mergeCell ref="F20:G20"/>
    <mergeCell ref="B21:E21"/>
    <mergeCell ref="F21:G21"/>
    <mergeCell ref="A23:G23"/>
    <mergeCell ref="A24:D24"/>
    <mergeCell ref="F24:G24"/>
    <mergeCell ref="B18:E18"/>
    <mergeCell ref="F18:G18"/>
    <mergeCell ref="B19:E19"/>
    <mergeCell ref="F19:G19"/>
    <mergeCell ref="A8:G8"/>
    <mergeCell ref="A9:G9"/>
    <mergeCell ref="A10:G10"/>
    <mergeCell ref="A11:G11"/>
    <mergeCell ref="A13:G13"/>
    <mergeCell ref="A14:G14"/>
    <mergeCell ref="A2:G2"/>
    <mergeCell ref="A3:G3"/>
    <mergeCell ref="A4:G4"/>
    <mergeCell ref="A5:G5"/>
    <mergeCell ref="A6:G6"/>
    <mergeCell ref="A7:G7"/>
    <mergeCell ref="A15:G15"/>
    <mergeCell ref="A16:G16"/>
    <mergeCell ref="A17:G17"/>
  </mergeCells>
  <pageMargins left="0.511811024" right="0.511811024" top="0.78740157499999996" bottom="0.78740157499999996" header="0.31496062000000002" footer="0.31496062000000002"/>
  <pageSetup paperSize="9" scale="82" orientation="portrait" horizontalDpi="300" verticalDpi="300" r:id="rId1"/>
  <rowBreaks count="3" manualBreakCount="3">
    <brk id="46" max="16383" man="1"/>
    <brk id="92" max="16383" man="1"/>
    <brk id="135" max="16383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5"/>
  <sheetViews>
    <sheetView tabSelected="1" topLeftCell="A7" zoomScale="80" zoomScaleNormal="80" workbookViewId="0">
      <selection activeCell="AB21" sqref="AB21:AC21"/>
    </sheetView>
  </sheetViews>
  <sheetFormatPr defaultRowHeight="15" x14ac:dyDescent="0.25"/>
  <cols>
    <col min="1" max="1" width="5" customWidth="1"/>
    <col min="2" max="2" width="40.42578125" customWidth="1"/>
    <col min="3" max="3" width="5" customWidth="1"/>
    <col min="4" max="4" width="7" customWidth="1"/>
    <col min="5" max="5" width="7.140625" customWidth="1"/>
    <col min="6" max="6" width="11.28515625" customWidth="1"/>
    <col min="7" max="7" width="12" customWidth="1"/>
    <col min="8" max="9" width="12.28515625" customWidth="1"/>
    <col min="11" max="12" width="10" bestFit="1" customWidth="1"/>
    <col min="13" max="13" width="11.5703125" bestFit="1" customWidth="1"/>
    <col min="15" max="17" width="10" bestFit="1" customWidth="1"/>
    <col min="18" max="23" width="10" customWidth="1"/>
    <col min="24" max="24" width="10" bestFit="1" customWidth="1"/>
    <col min="25" max="25" width="11.5703125" bestFit="1" customWidth="1"/>
    <col min="26" max="26" width="11" bestFit="1" customWidth="1"/>
    <col min="27" max="28" width="10" bestFit="1" customWidth="1"/>
    <col min="29" max="29" width="15.28515625" customWidth="1"/>
  </cols>
  <sheetData>
    <row r="1" spans="1:29" x14ac:dyDescent="0.25">
      <c r="A1" s="258" t="s">
        <v>0</v>
      </c>
      <c r="B1" s="258"/>
      <c r="C1" s="258"/>
      <c r="D1" s="258"/>
      <c r="E1" s="94"/>
      <c r="F1" s="94"/>
      <c r="G1" s="95"/>
    </row>
    <row r="2" spans="1:29" x14ac:dyDescent="0.25">
      <c r="A2" s="258" t="s">
        <v>177</v>
      </c>
      <c r="B2" s="258"/>
      <c r="C2" s="258"/>
      <c r="D2" s="258"/>
      <c r="E2" s="94"/>
      <c r="F2" s="94"/>
      <c r="G2" s="95"/>
    </row>
    <row r="3" spans="1:29" x14ac:dyDescent="0.25">
      <c r="A3" s="258" t="s">
        <v>178</v>
      </c>
      <c r="B3" s="258"/>
      <c r="C3" s="258"/>
      <c r="D3" s="258"/>
      <c r="E3" s="94"/>
      <c r="F3" s="94"/>
      <c r="G3" s="95"/>
    </row>
    <row r="4" spans="1:29" x14ac:dyDescent="0.25">
      <c r="A4" s="258" t="s">
        <v>179</v>
      </c>
      <c r="B4" s="258"/>
      <c r="C4" s="258"/>
      <c r="D4" s="258"/>
      <c r="E4" s="94"/>
      <c r="F4" s="94"/>
      <c r="G4" s="95"/>
    </row>
    <row r="5" spans="1:29" x14ac:dyDescent="0.25">
      <c r="A5" s="258" t="s">
        <v>180</v>
      </c>
      <c r="B5" s="258"/>
      <c r="C5" s="258"/>
      <c r="D5" s="258"/>
      <c r="E5" s="94"/>
      <c r="F5" s="94"/>
      <c r="G5" s="95"/>
    </row>
    <row r="6" spans="1:29" x14ac:dyDescent="0.25">
      <c r="A6" s="257"/>
      <c r="B6" s="257"/>
      <c r="C6" s="257"/>
      <c r="D6" s="257"/>
      <c r="E6" s="257"/>
      <c r="F6" s="257"/>
      <c r="G6" s="257"/>
    </row>
    <row r="7" spans="1:29" ht="27.75" customHeight="1" x14ac:dyDescent="0.25">
      <c r="A7" s="247" t="s">
        <v>190</v>
      </c>
      <c r="B7" s="247"/>
      <c r="C7" s="247"/>
      <c r="D7" s="247"/>
      <c r="E7" s="247"/>
      <c r="F7" s="247"/>
      <c r="G7" s="247"/>
      <c r="H7" s="247"/>
      <c r="I7" s="247"/>
      <c r="J7" s="247"/>
      <c r="K7" s="247"/>
      <c r="L7" s="247"/>
      <c r="M7" s="247"/>
      <c r="N7" s="247"/>
      <c r="O7" s="247"/>
      <c r="P7" s="247"/>
      <c r="Q7" s="247"/>
      <c r="R7" s="247"/>
      <c r="S7" s="247"/>
      <c r="T7" s="247"/>
      <c r="U7" s="247"/>
      <c r="V7" s="247"/>
      <c r="W7" s="247"/>
      <c r="X7" s="247"/>
      <c r="Y7" s="247"/>
      <c r="Z7" s="247"/>
      <c r="AA7" s="247"/>
      <c r="AB7" s="247"/>
      <c r="AC7" s="247"/>
    </row>
    <row r="8" spans="1:29" ht="36" customHeight="1" x14ac:dyDescent="0.25">
      <c r="A8" s="247" t="s">
        <v>181</v>
      </c>
      <c r="B8" s="247"/>
      <c r="C8" s="247"/>
      <c r="D8" s="247"/>
      <c r="E8" s="247"/>
      <c r="F8" s="247"/>
      <c r="G8" s="247"/>
      <c r="H8" s="247"/>
      <c r="I8" s="247"/>
      <c r="J8" s="247"/>
      <c r="K8" s="247"/>
      <c r="L8" s="247"/>
      <c r="M8" s="247"/>
      <c r="N8" s="247"/>
      <c r="O8" s="247"/>
      <c r="P8" s="247"/>
      <c r="Q8" s="247"/>
      <c r="R8" s="247"/>
      <c r="S8" s="247"/>
      <c r="T8" s="247"/>
      <c r="U8" s="247"/>
      <c r="V8" s="247"/>
      <c r="W8" s="247"/>
      <c r="X8" s="247"/>
      <c r="Y8" s="247"/>
      <c r="Z8" s="247"/>
      <c r="AA8" s="247"/>
      <c r="AB8" s="247"/>
      <c r="AC8" s="247"/>
    </row>
    <row r="9" spans="1:29" x14ac:dyDescent="0.25">
      <c r="A9" s="248" t="s">
        <v>191</v>
      </c>
      <c r="B9" s="248"/>
      <c r="C9" s="248"/>
      <c r="D9" s="248"/>
      <c r="E9" s="248"/>
      <c r="F9" s="248"/>
      <c r="G9" s="248"/>
      <c r="H9" s="248"/>
      <c r="I9" s="248"/>
      <c r="J9" s="248"/>
      <c r="K9" s="248"/>
      <c r="L9" s="248"/>
      <c r="M9" s="248"/>
      <c r="N9" s="248"/>
      <c r="O9" s="248"/>
      <c r="P9" s="248"/>
      <c r="Q9" s="248"/>
      <c r="R9" s="248"/>
      <c r="S9" s="248"/>
      <c r="T9" s="248"/>
      <c r="U9" s="248"/>
      <c r="V9" s="248"/>
      <c r="W9" s="248"/>
      <c r="X9" s="248"/>
      <c r="Y9" s="248"/>
      <c r="Z9" s="248"/>
      <c r="AA9" s="248"/>
      <c r="AB9" s="248"/>
      <c r="AC9" s="248"/>
    </row>
    <row r="10" spans="1:29" x14ac:dyDescent="0.25">
      <c r="A10" s="117"/>
      <c r="B10" s="117"/>
      <c r="C10" s="117"/>
      <c r="D10" s="117"/>
      <c r="E10" s="117"/>
      <c r="F10" s="117"/>
      <c r="G10" s="117"/>
      <c r="H10" s="117"/>
      <c r="I10" s="117"/>
      <c r="J10" s="255" t="s">
        <v>216</v>
      </c>
      <c r="K10" s="256"/>
      <c r="L10" s="256"/>
      <c r="M10" s="256"/>
      <c r="N10" s="256"/>
      <c r="O10" s="256"/>
      <c r="P10" s="256"/>
      <c r="Q10" s="256"/>
      <c r="R10" s="122"/>
      <c r="S10" s="122"/>
      <c r="T10" s="122"/>
      <c r="U10" s="122"/>
      <c r="V10" s="122"/>
      <c r="W10" s="122"/>
      <c r="X10" s="272" t="s">
        <v>222</v>
      </c>
      <c r="Y10" s="272"/>
      <c r="Z10" s="272"/>
      <c r="AA10" s="272"/>
      <c r="AB10" s="270" t="s">
        <v>228</v>
      </c>
      <c r="AC10" s="270"/>
    </row>
    <row r="11" spans="1:29" ht="83.25" customHeight="1" x14ac:dyDescent="0.25">
      <c r="A11" s="251" t="s">
        <v>5</v>
      </c>
      <c r="B11" s="251" t="s">
        <v>182</v>
      </c>
      <c r="C11" s="118"/>
      <c r="D11" s="251" t="s">
        <v>183</v>
      </c>
      <c r="E11" s="251"/>
      <c r="F11" s="251"/>
      <c r="G11" s="251" t="s">
        <v>253</v>
      </c>
      <c r="H11" s="251" t="s">
        <v>254</v>
      </c>
      <c r="I11" s="251"/>
      <c r="J11" s="252" t="s">
        <v>236</v>
      </c>
      <c r="K11" s="253"/>
      <c r="L11" s="249" t="s">
        <v>237</v>
      </c>
      <c r="M11" s="254"/>
      <c r="N11" s="249" t="s">
        <v>238</v>
      </c>
      <c r="O11" s="249"/>
      <c r="P11" s="249" t="s">
        <v>239</v>
      </c>
      <c r="Q11" s="249"/>
      <c r="R11" s="249" t="s">
        <v>233</v>
      </c>
      <c r="S11" s="249"/>
      <c r="T11" s="275" t="s">
        <v>240</v>
      </c>
      <c r="U11" s="276"/>
      <c r="V11" s="275" t="s">
        <v>234</v>
      </c>
      <c r="W11" s="276"/>
      <c r="X11" s="249" t="s">
        <v>231</v>
      </c>
      <c r="Y11" s="249"/>
      <c r="Z11" s="249" t="s">
        <v>235</v>
      </c>
      <c r="AA11" s="249"/>
      <c r="AB11" s="270"/>
      <c r="AC11" s="270"/>
    </row>
    <row r="12" spans="1:29" ht="41.25" customHeight="1" x14ac:dyDescent="0.25">
      <c r="A12" s="250"/>
      <c r="B12" s="250"/>
      <c r="C12" s="250" t="s">
        <v>9</v>
      </c>
      <c r="D12" s="250" t="s">
        <v>184</v>
      </c>
      <c r="E12" s="250" t="s">
        <v>208</v>
      </c>
      <c r="F12" s="250" t="s">
        <v>193</v>
      </c>
      <c r="G12" s="250"/>
      <c r="H12" s="263" t="s">
        <v>210</v>
      </c>
      <c r="I12" s="261" t="s">
        <v>198</v>
      </c>
      <c r="J12" s="253"/>
      <c r="K12" s="253"/>
      <c r="L12" s="254"/>
      <c r="M12" s="254"/>
      <c r="N12" s="249"/>
      <c r="O12" s="249"/>
      <c r="P12" s="249"/>
      <c r="Q12" s="249"/>
      <c r="R12" s="249"/>
      <c r="S12" s="249"/>
      <c r="T12" s="277"/>
      <c r="U12" s="278"/>
      <c r="V12" s="277"/>
      <c r="W12" s="278"/>
      <c r="X12" s="249"/>
      <c r="Y12" s="249"/>
      <c r="Z12" s="249"/>
      <c r="AA12" s="249"/>
      <c r="AB12" s="270"/>
      <c r="AC12" s="270"/>
    </row>
    <row r="13" spans="1:29" ht="22.5" customHeight="1" x14ac:dyDescent="0.25">
      <c r="A13" s="250"/>
      <c r="B13" s="250"/>
      <c r="C13" s="250"/>
      <c r="D13" s="250"/>
      <c r="E13" s="250"/>
      <c r="F13" s="250"/>
      <c r="G13" s="250"/>
      <c r="H13" s="264"/>
      <c r="I13" s="261"/>
      <c r="J13" s="109" t="s">
        <v>217</v>
      </c>
      <c r="K13" s="109" t="s">
        <v>218</v>
      </c>
      <c r="L13" s="109" t="s">
        <v>217</v>
      </c>
      <c r="M13" s="109" t="s">
        <v>218</v>
      </c>
      <c r="N13" s="109" t="s">
        <v>217</v>
      </c>
      <c r="O13" s="109" t="s">
        <v>218</v>
      </c>
      <c r="P13" s="109" t="s">
        <v>217</v>
      </c>
      <c r="Q13" s="109" t="s">
        <v>218</v>
      </c>
      <c r="R13" s="109" t="s">
        <v>217</v>
      </c>
      <c r="S13" s="109" t="s">
        <v>218</v>
      </c>
      <c r="T13" s="109" t="s">
        <v>217</v>
      </c>
      <c r="U13" s="109" t="s">
        <v>218</v>
      </c>
      <c r="V13" s="109" t="s">
        <v>217</v>
      </c>
      <c r="W13" s="109" t="s">
        <v>218</v>
      </c>
      <c r="X13" s="109" t="s">
        <v>217</v>
      </c>
      <c r="Y13" s="109" t="s">
        <v>218</v>
      </c>
      <c r="Z13" s="109" t="s">
        <v>217</v>
      </c>
      <c r="AA13" s="109" t="s">
        <v>218</v>
      </c>
      <c r="AB13" s="109" t="s">
        <v>217</v>
      </c>
      <c r="AC13" s="109" t="s">
        <v>218</v>
      </c>
    </row>
    <row r="14" spans="1:29" ht="67.5" customHeight="1" x14ac:dyDescent="0.25">
      <c r="A14" s="96">
        <v>1</v>
      </c>
      <c r="B14" s="97" t="s">
        <v>255</v>
      </c>
      <c r="C14" s="96" t="s">
        <v>185</v>
      </c>
      <c r="D14" s="98">
        <v>2</v>
      </c>
      <c r="E14" s="98">
        <v>2</v>
      </c>
      <c r="F14" s="98">
        <v>4</v>
      </c>
      <c r="G14" s="98">
        <f>F14*8</f>
        <v>32</v>
      </c>
      <c r="H14" s="112">
        <v>100</v>
      </c>
      <c r="I14" s="113">
        <f>H14*24</f>
        <v>2400</v>
      </c>
      <c r="J14" s="120"/>
      <c r="K14" s="121">
        <f>J14*F14</f>
        <v>0</v>
      </c>
      <c r="L14" s="120"/>
      <c r="M14" s="120">
        <f>L14*F14</f>
        <v>0</v>
      </c>
      <c r="N14" s="120">
        <v>85</v>
      </c>
      <c r="O14" s="120">
        <f>N14*F14</f>
        <v>340</v>
      </c>
      <c r="P14" s="120">
        <v>232.8</v>
      </c>
      <c r="Q14" s="120">
        <f>P14*F14</f>
        <v>931.2</v>
      </c>
      <c r="R14" s="120"/>
      <c r="S14" s="120"/>
      <c r="T14" s="120">
        <v>90.55</v>
      </c>
      <c r="U14" s="120">
        <f>T14*F14</f>
        <v>362.2</v>
      </c>
      <c r="V14" s="120"/>
      <c r="W14" s="120">
        <f>V14*F14</f>
        <v>0</v>
      </c>
      <c r="X14" s="120">
        <v>499</v>
      </c>
      <c r="Y14" s="120">
        <f>X14*F14</f>
        <v>1996</v>
      </c>
      <c r="Z14" s="120">
        <v>130</v>
      </c>
      <c r="AA14" s="120">
        <f>Z14*F14</f>
        <v>520</v>
      </c>
      <c r="AB14" s="123">
        <f>AVERAGE(P14,X14,Z14)</f>
        <v>287.26666666666665</v>
      </c>
      <c r="AC14" s="120">
        <f>AB14*G14</f>
        <v>9192.5333333333328</v>
      </c>
    </row>
    <row r="15" spans="1:29" ht="45.75" customHeight="1" x14ac:dyDescent="0.25">
      <c r="A15" s="96">
        <v>2</v>
      </c>
      <c r="B15" s="97" t="s">
        <v>256</v>
      </c>
      <c r="C15" s="96" t="s">
        <v>185</v>
      </c>
      <c r="D15" s="98">
        <v>2</v>
      </c>
      <c r="E15" s="98">
        <v>2</v>
      </c>
      <c r="F15" s="98">
        <v>4</v>
      </c>
      <c r="G15" s="98">
        <f t="shared" ref="G15:G19" si="0">F15*8</f>
        <v>32</v>
      </c>
      <c r="H15" s="112">
        <v>12</v>
      </c>
      <c r="I15" s="113">
        <f>H15*24</f>
        <v>288</v>
      </c>
      <c r="J15" s="120"/>
      <c r="K15" s="121">
        <f t="shared" ref="K15:K19" si="1">J15*F15</f>
        <v>0</v>
      </c>
      <c r="L15" s="120"/>
      <c r="M15" s="120">
        <f t="shared" ref="M15:M19" si="2">L15*F15</f>
        <v>0</v>
      </c>
      <c r="N15" s="120">
        <v>12</v>
      </c>
      <c r="O15" s="120">
        <f t="shared" ref="O15:O19" si="3">N15*F15</f>
        <v>48</v>
      </c>
      <c r="P15" s="120"/>
      <c r="Q15" s="120">
        <f t="shared" ref="Q15:Q19" si="4">P15*F15</f>
        <v>0</v>
      </c>
      <c r="R15" s="120"/>
      <c r="S15" s="120"/>
      <c r="T15" s="120">
        <v>12.9</v>
      </c>
      <c r="U15" s="120">
        <f t="shared" ref="U15:U19" si="5">T15*F15</f>
        <v>51.6</v>
      </c>
      <c r="V15" s="120"/>
      <c r="W15" s="120">
        <f t="shared" ref="W15:W19" si="6">V15*F15</f>
        <v>0</v>
      </c>
      <c r="X15" s="120">
        <v>36.9</v>
      </c>
      <c r="Y15" s="120">
        <f t="shared" ref="Y15:Y19" si="7">X15*F15</f>
        <v>147.6</v>
      </c>
      <c r="Z15" s="120">
        <v>30</v>
      </c>
      <c r="AA15" s="120">
        <f t="shared" ref="AA15:AA19" si="8">Z15*F15</f>
        <v>120</v>
      </c>
      <c r="AB15" s="123">
        <f>AVERAGE(H15,N15,T15)</f>
        <v>12.299999999999999</v>
      </c>
      <c r="AC15" s="120">
        <f t="shared" ref="AC15:AC18" si="9">AB15*G15</f>
        <v>393.59999999999997</v>
      </c>
    </row>
    <row r="16" spans="1:29" ht="60" x14ac:dyDescent="0.25">
      <c r="A16" s="96">
        <v>3</v>
      </c>
      <c r="B16" s="97" t="s">
        <v>257</v>
      </c>
      <c r="C16" s="96" t="s">
        <v>185</v>
      </c>
      <c r="D16" s="98">
        <v>5</v>
      </c>
      <c r="E16" s="98">
        <v>5</v>
      </c>
      <c r="F16" s="98">
        <v>10</v>
      </c>
      <c r="G16" s="98">
        <f>F16*8</f>
        <v>80</v>
      </c>
      <c r="H16" s="125">
        <v>36.5</v>
      </c>
      <c r="I16" s="113">
        <f>H16*60</f>
        <v>2190</v>
      </c>
      <c r="J16" s="119">
        <v>60</v>
      </c>
      <c r="K16" s="121">
        <f t="shared" si="1"/>
        <v>600</v>
      </c>
      <c r="L16" s="120">
        <v>121</v>
      </c>
      <c r="M16" s="120">
        <f t="shared" si="2"/>
        <v>1210</v>
      </c>
      <c r="N16" s="124">
        <v>28</v>
      </c>
      <c r="O16" s="120">
        <f t="shared" si="3"/>
        <v>280</v>
      </c>
      <c r="P16" s="120">
        <v>69.900000000000006</v>
      </c>
      <c r="Q16" s="120">
        <f t="shared" si="4"/>
        <v>699</v>
      </c>
      <c r="R16" s="120">
        <v>57.6</v>
      </c>
      <c r="S16" s="120">
        <f>R16*F16</f>
        <v>576</v>
      </c>
      <c r="T16" s="120">
        <v>22.35</v>
      </c>
      <c r="U16" s="120">
        <f t="shared" si="5"/>
        <v>223.5</v>
      </c>
      <c r="V16" s="120">
        <v>48.5</v>
      </c>
      <c r="W16" s="120">
        <f t="shared" si="6"/>
        <v>485</v>
      </c>
      <c r="X16" s="120">
        <v>120</v>
      </c>
      <c r="Y16" s="120">
        <f t="shared" si="7"/>
        <v>1200</v>
      </c>
      <c r="Z16" s="120">
        <v>65</v>
      </c>
      <c r="AA16" s="120">
        <f t="shared" si="8"/>
        <v>650</v>
      </c>
      <c r="AB16" s="120">
        <f>AVERAGE(L16,X16,Z16)</f>
        <v>102</v>
      </c>
      <c r="AC16" s="120">
        <f t="shared" si="9"/>
        <v>8160</v>
      </c>
    </row>
    <row r="17" spans="1:29" ht="45" customHeight="1" x14ac:dyDescent="0.25">
      <c r="A17" s="96">
        <v>4</v>
      </c>
      <c r="B17" s="97" t="s">
        <v>186</v>
      </c>
      <c r="C17" s="96" t="s">
        <v>187</v>
      </c>
      <c r="D17" s="98">
        <v>2</v>
      </c>
      <c r="E17" s="98">
        <v>2</v>
      </c>
      <c r="F17" s="98">
        <v>4</v>
      </c>
      <c r="G17" s="98">
        <f t="shared" si="0"/>
        <v>32</v>
      </c>
      <c r="H17" s="112">
        <v>31.4</v>
      </c>
      <c r="I17" s="113">
        <f>H17*24</f>
        <v>753.59999999999991</v>
      </c>
      <c r="J17" s="119">
        <v>100</v>
      </c>
      <c r="K17" s="121">
        <f t="shared" si="1"/>
        <v>400</v>
      </c>
      <c r="L17" s="120">
        <v>183.75</v>
      </c>
      <c r="M17" s="120">
        <f t="shared" si="2"/>
        <v>735</v>
      </c>
      <c r="N17" s="120">
        <v>40</v>
      </c>
      <c r="O17" s="120">
        <f t="shared" si="3"/>
        <v>160</v>
      </c>
      <c r="P17" s="120">
        <v>89.9</v>
      </c>
      <c r="Q17" s="120">
        <f t="shared" si="4"/>
        <v>359.6</v>
      </c>
      <c r="R17" s="120">
        <v>89</v>
      </c>
      <c r="S17" s="120">
        <f>R17*F17</f>
        <v>356</v>
      </c>
      <c r="T17" s="120">
        <v>48.95</v>
      </c>
      <c r="U17" s="120">
        <f t="shared" si="5"/>
        <v>195.8</v>
      </c>
      <c r="V17" s="120">
        <v>89.9</v>
      </c>
      <c r="W17" s="120">
        <f t="shared" si="6"/>
        <v>359.6</v>
      </c>
      <c r="X17" s="120">
        <v>145</v>
      </c>
      <c r="Y17" s="120">
        <f t="shared" si="7"/>
        <v>580</v>
      </c>
      <c r="Z17" s="120">
        <v>89</v>
      </c>
      <c r="AA17" s="120">
        <f t="shared" si="8"/>
        <v>356</v>
      </c>
      <c r="AB17" s="120">
        <f>AVERAGE(J17,O17,X17)</f>
        <v>135</v>
      </c>
      <c r="AC17" s="120">
        <f t="shared" si="9"/>
        <v>4320</v>
      </c>
    </row>
    <row r="18" spans="1:29" ht="60" customHeight="1" x14ac:dyDescent="0.25">
      <c r="A18" s="96">
        <v>5</v>
      </c>
      <c r="B18" s="97" t="s">
        <v>258</v>
      </c>
      <c r="C18" s="96" t="s">
        <v>187</v>
      </c>
      <c r="D18" s="98">
        <v>5</v>
      </c>
      <c r="E18" s="98">
        <v>5</v>
      </c>
      <c r="F18" s="98">
        <v>10</v>
      </c>
      <c r="G18" s="98">
        <f t="shared" si="0"/>
        <v>80</v>
      </c>
      <c r="H18" s="112">
        <v>3.04</v>
      </c>
      <c r="I18" s="113">
        <f>H18*60</f>
        <v>182.4</v>
      </c>
      <c r="J18" s="119">
        <v>25</v>
      </c>
      <c r="K18" s="121">
        <f t="shared" si="1"/>
        <v>250</v>
      </c>
      <c r="L18" s="120">
        <v>35.4</v>
      </c>
      <c r="M18" s="120">
        <f t="shared" si="2"/>
        <v>354</v>
      </c>
      <c r="N18" s="120">
        <v>5</v>
      </c>
      <c r="O18" s="120">
        <f t="shared" si="3"/>
        <v>50</v>
      </c>
      <c r="P18" s="120"/>
      <c r="Q18" s="120">
        <f t="shared" si="4"/>
        <v>0</v>
      </c>
      <c r="R18" s="120"/>
      <c r="S18" s="120"/>
      <c r="T18" s="120">
        <v>5.9</v>
      </c>
      <c r="U18" s="120">
        <f t="shared" si="5"/>
        <v>59</v>
      </c>
      <c r="V18" s="120">
        <v>14.9</v>
      </c>
      <c r="W18" s="120">
        <f t="shared" si="6"/>
        <v>149</v>
      </c>
      <c r="X18" s="120">
        <v>4.9000000000000004</v>
      </c>
      <c r="Y18" s="120">
        <f t="shared" si="7"/>
        <v>49</v>
      </c>
      <c r="Z18" s="120">
        <v>15</v>
      </c>
      <c r="AA18" s="120">
        <f t="shared" si="8"/>
        <v>150</v>
      </c>
      <c r="AB18" s="120">
        <f>AVERAGE(J18,Z18)</f>
        <v>20</v>
      </c>
      <c r="AC18" s="120">
        <f t="shared" si="9"/>
        <v>1600</v>
      </c>
    </row>
    <row r="19" spans="1:29" ht="33" customHeight="1" x14ac:dyDescent="0.25">
      <c r="A19" s="96">
        <v>6</v>
      </c>
      <c r="B19" s="97" t="s">
        <v>188</v>
      </c>
      <c r="C19" s="96" t="s">
        <v>185</v>
      </c>
      <c r="D19" s="98">
        <v>1</v>
      </c>
      <c r="E19" s="98">
        <v>1</v>
      </c>
      <c r="F19" s="98">
        <v>2</v>
      </c>
      <c r="G19" s="98">
        <f t="shared" si="0"/>
        <v>16</v>
      </c>
      <c r="H19" s="112">
        <v>10</v>
      </c>
      <c r="I19" s="113">
        <f>H19*12</f>
        <v>120</v>
      </c>
      <c r="J19" s="120"/>
      <c r="K19" s="121">
        <f t="shared" si="1"/>
        <v>0</v>
      </c>
      <c r="L19" s="120"/>
      <c r="M19" s="120">
        <f t="shared" si="2"/>
        <v>0</v>
      </c>
      <c r="N19" s="120">
        <v>25.9</v>
      </c>
      <c r="O19" s="120">
        <f t="shared" si="3"/>
        <v>51.8</v>
      </c>
      <c r="P19" s="120">
        <v>25.9</v>
      </c>
      <c r="Q19" s="120">
        <f t="shared" si="4"/>
        <v>51.8</v>
      </c>
      <c r="R19" s="120"/>
      <c r="S19" s="120"/>
      <c r="T19" s="120">
        <v>8.5</v>
      </c>
      <c r="U19" s="120">
        <f t="shared" si="5"/>
        <v>17</v>
      </c>
      <c r="V19" s="120"/>
      <c r="W19" s="120">
        <f t="shared" si="6"/>
        <v>0</v>
      </c>
      <c r="X19" s="120">
        <v>35</v>
      </c>
      <c r="Y19" s="120">
        <f t="shared" si="7"/>
        <v>70</v>
      </c>
      <c r="Z19" s="120">
        <v>30</v>
      </c>
      <c r="AA19" s="120">
        <f t="shared" si="8"/>
        <v>60</v>
      </c>
      <c r="AB19" s="123">
        <f>AVERAGE(N19,P19,Z19,X19)</f>
        <v>29.2</v>
      </c>
      <c r="AC19" s="120">
        <f>AB19*G19</f>
        <v>467.2</v>
      </c>
    </row>
    <row r="20" spans="1:29" x14ac:dyDescent="0.25">
      <c r="A20" s="262" t="s">
        <v>189</v>
      </c>
      <c r="B20" s="262"/>
      <c r="C20" s="262"/>
      <c r="D20" s="262"/>
      <c r="E20" s="262"/>
      <c r="F20" s="262"/>
      <c r="G20" s="262"/>
      <c r="H20" s="99"/>
      <c r="I20" s="114">
        <f>SUM(I14:I19)</f>
        <v>5934</v>
      </c>
      <c r="J20" s="273"/>
      <c r="K20" s="266"/>
      <c r="L20" s="266"/>
      <c r="M20" s="266"/>
      <c r="N20" s="266"/>
      <c r="O20" s="266"/>
      <c r="P20" s="266"/>
      <c r="Q20" s="266"/>
      <c r="R20" s="266"/>
      <c r="S20" s="266"/>
      <c r="T20" s="266"/>
      <c r="U20" s="266"/>
      <c r="V20" s="266"/>
      <c r="W20" s="266"/>
      <c r="X20" s="266"/>
      <c r="Y20" s="266"/>
      <c r="Z20" s="266"/>
      <c r="AA20" s="274"/>
      <c r="AB20" s="271">
        <f>ROUND(SUM(AC14:AC19),2)</f>
        <v>24133.33</v>
      </c>
      <c r="AC20" s="271"/>
    </row>
    <row r="21" spans="1:29" x14ac:dyDescent="0.25">
      <c r="A21" s="262" t="s">
        <v>197</v>
      </c>
      <c r="B21" s="262"/>
      <c r="C21" s="262"/>
      <c r="D21" s="262"/>
      <c r="E21" s="262"/>
      <c r="F21" s="262"/>
      <c r="G21" s="262"/>
      <c r="H21" s="99"/>
      <c r="I21" s="114">
        <f>I20/12</f>
        <v>494.5</v>
      </c>
      <c r="J21" s="273"/>
      <c r="K21" s="266"/>
      <c r="L21" s="266"/>
      <c r="M21" s="266"/>
      <c r="N21" s="266"/>
      <c r="O21" s="266"/>
      <c r="P21" s="266"/>
      <c r="Q21" s="266"/>
      <c r="R21" s="266"/>
      <c r="S21" s="266"/>
      <c r="T21" s="266"/>
      <c r="U21" s="266"/>
      <c r="V21" s="266"/>
      <c r="W21" s="266"/>
      <c r="X21" s="266"/>
      <c r="Y21" s="266"/>
      <c r="Z21" s="266"/>
      <c r="AA21" s="274"/>
      <c r="AB21" s="268">
        <f>ROUND(AB20/12,2)</f>
        <v>2011.11</v>
      </c>
      <c r="AC21" s="269"/>
    </row>
    <row r="22" spans="1:29" x14ac:dyDescent="0.25">
      <c r="A22" s="248" t="s">
        <v>192</v>
      </c>
      <c r="B22" s="248"/>
      <c r="C22" s="248"/>
      <c r="D22" s="248"/>
      <c r="E22" s="248"/>
      <c r="F22" s="248"/>
      <c r="G22" s="248"/>
      <c r="H22" s="100"/>
      <c r="I22" s="114">
        <f>I21/6</f>
        <v>82.416666666666671</v>
      </c>
      <c r="J22" s="273"/>
      <c r="K22" s="266"/>
      <c r="L22" s="266"/>
      <c r="M22" s="266"/>
      <c r="N22" s="266"/>
      <c r="O22" s="266"/>
      <c r="P22" s="266"/>
      <c r="Q22" s="266"/>
      <c r="R22" s="266"/>
      <c r="S22" s="266"/>
      <c r="T22" s="266"/>
      <c r="U22" s="266"/>
      <c r="V22" s="266"/>
      <c r="W22" s="266"/>
      <c r="X22" s="266"/>
      <c r="Y22" s="266"/>
      <c r="Z22" s="266"/>
      <c r="AA22" s="274"/>
      <c r="AB22" s="268">
        <f>ROUND(AB21/8,2)</f>
        <v>251.39</v>
      </c>
      <c r="AC22" s="269"/>
    </row>
    <row r="23" spans="1:29" x14ac:dyDescent="0.25">
      <c r="A23" s="266"/>
      <c r="B23" s="266"/>
      <c r="C23" s="266"/>
      <c r="D23" s="266"/>
      <c r="E23" s="266"/>
      <c r="F23" s="266"/>
      <c r="G23" s="266"/>
      <c r="H23" s="266"/>
      <c r="I23" s="266"/>
      <c r="AB23" s="267"/>
      <c r="AC23" s="266"/>
    </row>
    <row r="24" spans="1:29" ht="15" customHeight="1" x14ac:dyDescent="0.25">
      <c r="A24" s="111" t="s">
        <v>14</v>
      </c>
      <c r="B24" s="265" t="s">
        <v>194</v>
      </c>
      <c r="C24" s="265"/>
      <c r="D24" s="265"/>
      <c r="E24" s="265"/>
      <c r="F24" s="265"/>
      <c r="G24" s="265"/>
      <c r="H24" s="265"/>
      <c r="I24" s="265"/>
    </row>
    <row r="25" spans="1:29" ht="15" customHeight="1" x14ac:dyDescent="0.25">
      <c r="A25" s="110" t="s">
        <v>16</v>
      </c>
      <c r="B25" s="259" t="s">
        <v>209</v>
      </c>
      <c r="C25" s="259"/>
      <c r="D25" s="259"/>
      <c r="E25" s="259"/>
      <c r="F25" s="259"/>
      <c r="G25" s="259"/>
      <c r="H25" s="259"/>
      <c r="I25" s="259"/>
    </row>
    <row r="26" spans="1:29" x14ac:dyDescent="0.25">
      <c r="A26" s="109" t="s">
        <v>19</v>
      </c>
      <c r="B26" s="260" t="s">
        <v>211</v>
      </c>
      <c r="C26" s="260"/>
      <c r="D26" s="260"/>
      <c r="E26" s="260"/>
      <c r="F26" s="260"/>
      <c r="G26" s="260"/>
      <c r="H26" s="260"/>
      <c r="I26" s="260"/>
      <c r="Z26" s="57"/>
    </row>
    <row r="27" spans="1:29" x14ac:dyDescent="0.25">
      <c r="Y27" s="57"/>
    </row>
    <row r="34" ht="15" customHeight="1" x14ac:dyDescent="0.25"/>
    <row r="35" ht="15" customHeight="1" x14ac:dyDescent="0.25"/>
    <row r="44" ht="15" customHeight="1" x14ac:dyDescent="0.25"/>
    <row r="45" ht="15" customHeight="1" x14ac:dyDescent="0.25"/>
  </sheetData>
  <mergeCells count="46">
    <mergeCell ref="AB23:AC23"/>
    <mergeCell ref="AB22:AC22"/>
    <mergeCell ref="Z11:AA12"/>
    <mergeCell ref="AB10:AC12"/>
    <mergeCell ref="AB20:AC20"/>
    <mergeCell ref="AB21:AC21"/>
    <mergeCell ref="X10:AA10"/>
    <mergeCell ref="X11:Y12"/>
    <mergeCell ref="J20:AA20"/>
    <mergeCell ref="J21:AA21"/>
    <mergeCell ref="J22:AA22"/>
    <mergeCell ref="V11:W12"/>
    <mergeCell ref="T11:U12"/>
    <mergeCell ref="B25:I25"/>
    <mergeCell ref="B26:I26"/>
    <mergeCell ref="H11:I11"/>
    <mergeCell ref="I12:I13"/>
    <mergeCell ref="A20:G20"/>
    <mergeCell ref="H12:H13"/>
    <mergeCell ref="A22:G22"/>
    <mergeCell ref="B24:I24"/>
    <mergeCell ref="A21:G21"/>
    <mergeCell ref="A23:I23"/>
    <mergeCell ref="C12:C13"/>
    <mergeCell ref="D12:D13"/>
    <mergeCell ref="G11:G13"/>
    <mergeCell ref="A6:G6"/>
    <mergeCell ref="A1:D1"/>
    <mergeCell ref="A2:D2"/>
    <mergeCell ref="A3:D3"/>
    <mergeCell ref="A4:D4"/>
    <mergeCell ref="A5:D5"/>
    <mergeCell ref="A7:AC7"/>
    <mergeCell ref="A8:AC8"/>
    <mergeCell ref="A9:AC9"/>
    <mergeCell ref="R11:S12"/>
    <mergeCell ref="P11:Q12"/>
    <mergeCell ref="E12:E13"/>
    <mergeCell ref="F12:F13"/>
    <mergeCell ref="A11:A13"/>
    <mergeCell ref="B11:B13"/>
    <mergeCell ref="D11:F11"/>
    <mergeCell ref="J11:K12"/>
    <mergeCell ref="L11:M12"/>
    <mergeCell ref="N11:O12"/>
    <mergeCell ref="J10:Q10"/>
  </mergeCells>
  <pageMargins left="0.511811024" right="0.511811024" top="0.78740157499999996" bottom="0.78740157499999996" header="0.31496062000000002" footer="0.31496062000000002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topLeftCell="A20" zoomScale="130" zoomScaleNormal="130" workbookViewId="0">
      <selection activeCell="E34" sqref="E34:H34"/>
    </sheetView>
  </sheetViews>
  <sheetFormatPr defaultRowHeight="15" x14ac:dyDescent="0.25"/>
  <cols>
    <col min="1" max="1" width="6.140625" customWidth="1"/>
    <col min="2" max="2" width="17.42578125" customWidth="1"/>
    <col min="3" max="3" width="13.42578125" customWidth="1"/>
    <col min="4" max="4" width="10.42578125" customWidth="1"/>
    <col min="5" max="5" width="12.7109375" customWidth="1"/>
    <col min="6" max="6" width="8.7109375" style="57" customWidth="1"/>
    <col min="7" max="7" width="13" customWidth="1"/>
    <col min="8" max="8" width="12.85546875" customWidth="1"/>
  </cols>
  <sheetData>
    <row r="1" spans="1:8" x14ac:dyDescent="0.25">
      <c r="A1" s="285" t="s">
        <v>0</v>
      </c>
      <c r="B1" s="285"/>
      <c r="C1" s="285"/>
      <c r="D1" s="285"/>
      <c r="E1" s="285"/>
      <c r="F1" s="285"/>
      <c r="G1" s="285"/>
      <c r="H1" s="285"/>
    </row>
    <row r="2" spans="1:8" x14ac:dyDescent="0.25">
      <c r="A2" s="285" t="s">
        <v>1</v>
      </c>
      <c r="B2" s="285"/>
      <c r="C2" s="285"/>
      <c r="D2" s="285"/>
      <c r="E2" s="285"/>
      <c r="F2" s="285"/>
      <c r="G2" s="285"/>
      <c r="H2" s="285"/>
    </row>
    <row r="3" spans="1:8" x14ac:dyDescent="0.25">
      <c r="A3" s="285" t="s">
        <v>2</v>
      </c>
      <c r="B3" s="285"/>
      <c r="C3" s="285"/>
      <c r="D3" s="285"/>
      <c r="E3" s="285"/>
      <c r="F3" s="285"/>
      <c r="G3" s="285"/>
      <c r="H3" s="285"/>
    </row>
    <row r="4" spans="1:8" ht="15" customHeight="1" x14ac:dyDescent="0.25">
      <c r="A4" s="285" t="s">
        <v>3</v>
      </c>
      <c r="B4" s="285"/>
      <c r="C4" s="285"/>
      <c r="D4" s="285"/>
      <c r="E4" s="285"/>
      <c r="F4" s="285"/>
      <c r="G4" s="285"/>
      <c r="H4" s="285"/>
    </row>
    <row r="5" spans="1:8" ht="17.100000000000001" customHeight="1" x14ac:dyDescent="0.25">
      <c r="A5" s="285" t="s">
        <v>4</v>
      </c>
      <c r="B5" s="285"/>
      <c r="C5" s="285"/>
      <c r="D5" s="285"/>
      <c r="E5" s="285"/>
      <c r="F5" s="285"/>
      <c r="G5" s="285"/>
      <c r="H5" s="285"/>
    </row>
    <row r="6" spans="1:8" x14ac:dyDescent="0.25">
      <c r="A6" s="285"/>
      <c r="B6" s="285"/>
      <c r="C6" s="285"/>
      <c r="D6" s="285"/>
      <c r="E6" s="285"/>
      <c r="F6" s="285"/>
      <c r="G6" s="285"/>
      <c r="H6" s="285"/>
    </row>
    <row r="7" spans="1:8" x14ac:dyDescent="0.25">
      <c r="A7" s="285"/>
      <c r="B7" s="285"/>
      <c r="C7" s="285"/>
      <c r="D7" s="285"/>
      <c r="E7" s="285"/>
      <c r="F7" s="285"/>
      <c r="G7" s="285"/>
      <c r="H7" s="285"/>
    </row>
    <row r="8" spans="1:8" ht="34.5" customHeight="1" x14ac:dyDescent="0.25">
      <c r="A8" s="289" t="s">
        <v>201</v>
      </c>
      <c r="B8" s="289"/>
      <c r="C8" s="289"/>
      <c r="D8" s="289"/>
      <c r="E8" s="289"/>
      <c r="F8" s="289"/>
      <c r="G8" s="289"/>
      <c r="H8" s="289"/>
    </row>
    <row r="9" spans="1:8" ht="30.95" customHeight="1" x14ac:dyDescent="0.25">
      <c r="A9" s="290"/>
      <c r="B9" s="290"/>
      <c r="C9" s="290"/>
      <c r="D9" s="290"/>
      <c r="E9" s="290"/>
      <c r="F9" s="290"/>
      <c r="G9" s="290"/>
      <c r="H9" s="290"/>
    </row>
    <row r="10" spans="1:8" ht="36" customHeight="1" x14ac:dyDescent="0.25">
      <c r="A10" s="192" t="s">
        <v>11</v>
      </c>
      <c r="B10" s="192"/>
      <c r="C10" s="192"/>
      <c r="D10" s="192"/>
      <c r="E10" s="192"/>
      <c r="F10" s="192"/>
      <c r="G10" s="192"/>
      <c r="H10" s="192"/>
    </row>
    <row r="11" spans="1:8" ht="15" customHeight="1" x14ac:dyDescent="0.25">
      <c r="A11" s="234"/>
      <c r="B11" s="234"/>
      <c r="C11" s="234"/>
      <c r="D11" s="234"/>
      <c r="E11" s="234"/>
      <c r="F11" s="234"/>
      <c r="G11" s="234"/>
      <c r="H11" s="234"/>
    </row>
    <row r="12" spans="1:8" ht="15" customHeight="1" x14ac:dyDescent="0.25">
      <c r="A12" s="291" t="s">
        <v>133</v>
      </c>
      <c r="B12" s="291"/>
      <c r="C12" s="291"/>
      <c r="D12" s="291"/>
      <c r="E12" s="291"/>
      <c r="F12" s="291"/>
      <c r="G12" s="291"/>
      <c r="H12" s="291"/>
    </row>
    <row r="13" spans="1:8" ht="36" customHeight="1" x14ac:dyDescent="0.25">
      <c r="A13" s="288" t="s">
        <v>134</v>
      </c>
      <c r="B13" s="288"/>
      <c r="C13" s="75" t="s">
        <v>135</v>
      </c>
      <c r="D13" s="75" t="s">
        <v>136</v>
      </c>
      <c r="E13" s="75" t="s">
        <v>137</v>
      </c>
      <c r="F13" s="75" t="s">
        <v>138</v>
      </c>
      <c r="G13" s="75" t="s">
        <v>139</v>
      </c>
      <c r="H13" s="288" t="s">
        <v>140</v>
      </c>
    </row>
    <row r="14" spans="1:8" x14ac:dyDescent="0.25">
      <c r="A14" s="288" t="s">
        <v>141</v>
      </c>
      <c r="B14" s="288"/>
      <c r="C14" s="75" t="s">
        <v>142</v>
      </c>
      <c r="D14" s="75" t="s">
        <v>143</v>
      </c>
      <c r="E14" s="75" t="s">
        <v>144</v>
      </c>
      <c r="F14" s="75" t="s">
        <v>145</v>
      </c>
      <c r="G14" s="75" t="s">
        <v>146</v>
      </c>
      <c r="H14" s="288"/>
    </row>
    <row r="15" spans="1:8" ht="14.25" customHeight="1" x14ac:dyDescent="0.25">
      <c r="A15" s="71" t="s">
        <v>147</v>
      </c>
      <c r="B15" s="72" t="str">
        <f>' Motorista Executivo I'!A25</f>
        <v>Motorista Executivo I</v>
      </c>
      <c r="C15" s="72">
        <f>' Motorista Executivo I'!G159</f>
        <v>8550.7199999999993</v>
      </c>
      <c r="D15" s="71">
        <v>1</v>
      </c>
      <c r="E15" s="72">
        <f>C15*D15</f>
        <v>8550.7199999999993</v>
      </c>
      <c r="F15" s="71">
        <v>4</v>
      </c>
      <c r="G15" s="93">
        <f>ROUND(E15*F15,2)</f>
        <v>34202.879999999997</v>
      </c>
      <c r="H15" s="71">
        <f t="shared" ref="H15" si="0">D15*F15</f>
        <v>4</v>
      </c>
    </row>
    <row r="16" spans="1:8" ht="14.25" customHeight="1" x14ac:dyDescent="0.25">
      <c r="A16" s="71" t="s">
        <v>214</v>
      </c>
      <c r="B16" s="72" t="str">
        <f>' Motorista Executivo II'!A25</f>
        <v>Motorista Executivo II</v>
      </c>
      <c r="C16" s="72">
        <f>' Motorista Executivo II'!G159</f>
        <v>9180.08</v>
      </c>
      <c r="D16" s="71">
        <v>1</v>
      </c>
      <c r="E16" s="72">
        <f t="shared" ref="E16" si="1">C16*D16</f>
        <v>9180.08</v>
      </c>
      <c r="F16" s="71">
        <v>4</v>
      </c>
      <c r="G16" s="93">
        <f>ROUND(E16*F16,2)</f>
        <v>36720.32</v>
      </c>
      <c r="H16" s="71">
        <v>4</v>
      </c>
    </row>
    <row r="17" spans="1:8" x14ac:dyDescent="0.25">
      <c r="A17" s="288" t="s">
        <v>202</v>
      </c>
      <c r="B17" s="288"/>
      <c r="C17" s="288"/>
      <c r="D17" s="288"/>
      <c r="E17" s="288"/>
      <c r="F17" s="288"/>
      <c r="G17" s="73">
        <f>ROUND(SUM(G15:G16),2)</f>
        <v>70923.199999999997</v>
      </c>
      <c r="H17" s="71"/>
    </row>
    <row r="18" spans="1:8" ht="18.600000000000001" customHeight="1" x14ac:dyDescent="0.25">
      <c r="A18" s="287"/>
      <c r="B18" s="287"/>
      <c r="C18" s="287"/>
      <c r="D18" s="287"/>
      <c r="E18" s="287"/>
      <c r="F18" s="287"/>
      <c r="G18" s="287"/>
      <c r="H18" s="287"/>
    </row>
    <row r="19" spans="1:8" x14ac:dyDescent="0.25">
      <c r="A19" s="287"/>
      <c r="B19" s="287"/>
      <c r="C19" s="287"/>
      <c r="D19" s="287"/>
      <c r="E19" s="287"/>
      <c r="F19" s="287"/>
      <c r="G19" s="287"/>
      <c r="H19" s="287"/>
    </row>
    <row r="20" spans="1:8" x14ac:dyDescent="0.25">
      <c r="A20" s="280" t="s">
        <v>148</v>
      </c>
      <c r="B20" s="280"/>
      <c r="C20" s="280"/>
      <c r="D20" s="280"/>
      <c r="E20" s="280"/>
      <c r="F20" s="280"/>
      <c r="G20" s="280"/>
      <c r="H20" s="280"/>
    </row>
    <row r="21" spans="1:8" x14ac:dyDescent="0.25">
      <c r="A21" s="288" t="s">
        <v>149</v>
      </c>
      <c r="B21" s="288"/>
      <c r="C21" s="288"/>
      <c r="D21" s="288"/>
      <c r="E21" s="288"/>
      <c r="F21" s="288"/>
      <c r="G21" s="288"/>
      <c r="H21" s="288"/>
    </row>
    <row r="22" spans="1:8" x14ac:dyDescent="0.25">
      <c r="A22" s="74"/>
      <c r="B22" s="295" t="s">
        <v>100</v>
      </c>
      <c r="C22" s="295"/>
      <c r="D22" s="295"/>
      <c r="E22" s="295"/>
      <c r="F22" s="295"/>
      <c r="G22" s="295" t="s">
        <v>6</v>
      </c>
      <c r="H22" s="295"/>
    </row>
    <row r="23" spans="1:8" x14ac:dyDescent="0.25">
      <c r="A23" s="71" t="s">
        <v>14</v>
      </c>
      <c r="B23" s="282" t="s">
        <v>150</v>
      </c>
      <c r="C23" s="282"/>
      <c r="D23" s="282"/>
      <c r="E23" s="282"/>
      <c r="F23" s="282"/>
      <c r="G23" s="286"/>
      <c r="H23" s="286"/>
    </row>
    <row r="24" spans="1:8" x14ac:dyDescent="0.25">
      <c r="A24" s="71" t="s">
        <v>151</v>
      </c>
      <c r="B24" s="281" t="str">
        <f>B15</f>
        <v>Motorista Executivo I</v>
      </c>
      <c r="C24" s="282"/>
      <c r="D24" s="282"/>
      <c r="E24" s="282"/>
      <c r="F24" s="282"/>
      <c r="G24" s="283">
        <f>G17</f>
        <v>70923.199999999997</v>
      </c>
      <c r="H24" s="283"/>
    </row>
    <row r="25" spans="1:8" x14ac:dyDescent="0.25">
      <c r="A25" s="71" t="s">
        <v>16</v>
      </c>
      <c r="B25" s="282" t="s">
        <v>152</v>
      </c>
      <c r="C25" s="282"/>
      <c r="D25" s="282"/>
      <c r="E25" s="282"/>
      <c r="F25" s="282"/>
      <c r="G25" s="284">
        <f t="shared" ref="G25" si="2">G17</f>
        <v>70923.199999999997</v>
      </c>
      <c r="H25" s="284"/>
    </row>
    <row r="26" spans="1:8" x14ac:dyDescent="0.25">
      <c r="A26" s="71" t="s">
        <v>19</v>
      </c>
      <c r="B26" s="282" t="s">
        <v>153</v>
      </c>
      <c r="C26" s="282"/>
      <c r="D26" s="282"/>
      <c r="E26" s="282"/>
      <c r="F26" s="282"/>
      <c r="G26" s="296">
        <f>ROUND(12*G25,2)</f>
        <v>851078.4</v>
      </c>
      <c r="H26" s="296"/>
    </row>
    <row r="27" spans="1:8" x14ac:dyDescent="0.25">
      <c r="A27" s="298" t="s">
        <v>154</v>
      </c>
      <c r="B27" s="299"/>
      <c r="C27" s="299"/>
      <c r="D27" s="299"/>
      <c r="E27" s="299"/>
      <c r="F27" s="299"/>
      <c r="G27" s="299"/>
      <c r="H27" s="300"/>
    </row>
    <row r="28" spans="1:8" x14ac:dyDescent="0.25">
      <c r="A28" s="297"/>
      <c r="B28" s="297"/>
      <c r="C28" s="297"/>
      <c r="D28" s="297"/>
      <c r="E28" s="297"/>
      <c r="F28" s="297"/>
      <c r="G28" s="297"/>
      <c r="H28" s="297"/>
    </row>
    <row r="29" spans="1:8" x14ac:dyDescent="0.25">
      <c r="A29" s="297"/>
      <c r="B29" s="297"/>
      <c r="C29" s="297"/>
      <c r="D29" s="297"/>
      <c r="E29" s="297"/>
      <c r="F29" s="297"/>
      <c r="G29" s="297"/>
      <c r="H29" s="297"/>
    </row>
    <row r="30" spans="1:8" x14ac:dyDescent="0.25">
      <c r="A30" s="279" t="s">
        <v>155</v>
      </c>
      <c r="B30" s="279"/>
      <c r="C30" s="279"/>
      <c r="D30" s="279"/>
      <c r="E30" s="279"/>
      <c r="F30" s="279"/>
      <c r="G30" s="279"/>
      <c r="H30" s="279"/>
    </row>
    <row r="31" spans="1:8" x14ac:dyDescent="0.25">
      <c r="A31" s="279" t="s">
        <v>100</v>
      </c>
      <c r="B31" s="279"/>
      <c r="C31" s="279"/>
      <c r="D31" s="279"/>
      <c r="E31" s="280" t="s">
        <v>156</v>
      </c>
      <c r="F31" s="280"/>
      <c r="G31" s="279" t="s">
        <v>157</v>
      </c>
      <c r="H31" s="279"/>
    </row>
    <row r="32" spans="1:8" x14ac:dyDescent="0.25">
      <c r="A32" s="279" t="s">
        <v>158</v>
      </c>
      <c r="B32" s="279"/>
      <c r="C32" s="279"/>
      <c r="D32" s="279"/>
      <c r="E32" s="304">
        <f>G25</f>
        <v>70923.199999999997</v>
      </c>
      <c r="F32" s="304"/>
      <c r="G32" s="301">
        <f>G26</f>
        <v>851078.4</v>
      </c>
      <c r="H32" s="301"/>
    </row>
    <row r="33" spans="1:8" x14ac:dyDescent="0.25">
      <c r="A33" s="280" t="s">
        <v>159</v>
      </c>
      <c r="B33" s="280"/>
      <c r="C33" s="280"/>
      <c r="D33" s="280"/>
      <c r="E33" s="301">
        <f>SUM(E32:F32)</f>
        <v>70923.199999999997</v>
      </c>
      <c r="F33" s="301"/>
      <c r="G33" s="302">
        <f>SUM(G32:H32)</f>
        <v>851078.4</v>
      </c>
      <c r="H33" s="303"/>
    </row>
    <row r="34" spans="1:8" x14ac:dyDescent="0.25">
      <c r="A34" s="269" t="s">
        <v>226</v>
      </c>
      <c r="B34" s="269"/>
      <c r="C34" s="269"/>
      <c r="D34" s="269"/>
      <c r="E34" s="292">
        <f>ROUND(G33*2.5,2)</f>
        <v>2127696</v>
      </c>
      <c r="F34" s="293"/>
      <c r="G34" s="293"/>
      <c r="H34" s="294"/>
    </row>
  </sheetData>
  <mergeCells count="43">
    <mergeCell ref="A34:D34"/>
    <mergeCell ref="E34:H34"/>
    <mergeCell ref="A20:H20"/>
    <mergeCell ref="A21:H21"/>
    <mergeCell ref="B22:F22"/>
    <mergeCell ref="G22:H22"/>
    <mergeCell ref="B26:F26"/>
    <mergeCell ref="G26:H26"/>
    <mergeCell ref="A28:H29"/>
    <mergeCell ref="A27:H27"/>
    <mergeCell ref="A33:D33"/>
    <mergeCell ref="E33:F33"/>
    <mergeCell ref="G33:H33"/>
    <mergeCell ref="A32:D32"/>
    <mergeCell ref="E32:F32"/>
    <mergeCell ref="G32:H32"/>
    <mergeCell ref="A1:H1"/>
    <mergeCell ref="A2:H2"/>
    <mergeCell ref="A3:H3"/>
    <mergeCell ref="A4:H4"/>
    <mergeCell ref="A5:H5"/>
    <mergeCell ref="A6:H6"/>
    <mergeCell ref="A7:H7"/>
    <mergeCell ref="B23:F23"/>
    <mergeCell ref="G23:H23"/>
    <mergeCell ref="A18:H19"/>
    <mergeCell ref="A11:H11"/>
    <mergeCell ref="A17:F17"/>
    <mergeCell ref="A8:H8"/>
    <mergeCell ref="A10:H10"/>
    <mergeCell ref="A9:H9"/>
    <mergeCell ref="A12:H12"/>
    <mergeCell ref="A13:B13"/>
    <mergeCell ref="H13:H14"/>
    <mergeCell ref="A14:B14"/>
    <mergeCell ref="A30:H30"/>
    <mergeCell ref="A31:D31"/>
    <mergeCell ref="E31:F31"/>
    <mergeCell ref="B24:F24"/>
    <mergeCell ref="G24:H24"/>
    <mergeCell ref="G31:H31"/>
    <mergeCell ref="B25:F25"/>
    <mergeCell ref="G25:H25"/>
  </mergeCells>
  <pageMargins left="0.511811024" right="0.511811024" top="0.78740157499999996" bottom="0.78740157499999996" header="0.31496062000000002" footer="0.31496062000000002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topLeftCell="A10" zoomScale="140" zoomScaleNormal="140" workbookViewId="0">
      <selection activeCell="E22" sqref="E22"/>
    </sheetView>
  </sheetViews>
  <sheetFormatPr defaultRowHeight="15" x14ac:dyDescent="0.25"/>
  <cols>
    <col min="1" max="1" width="6" customWidth="1"/>
    <col min="2" max="2" width="19.28515625" customWidth="1"/>
    <col min="3" max="3" width="6.5703125" customWidth="1"/>
    <col min="4" max="4" width="10.28515625" customWidth="1"/>
    <col min="5" max="9" width="11.5703125" customWidth="1"/>
  </cols>
  <sheetData>
    <row r="1" spans="1:10" ht="15.75" x14ac:dyDescent="0.25">
      <c r="A1" s="315" t="s">
        <v>0</v>
      </c>
      <c r="B1" s="315"/>
      <c r="C1" s="315"/>
      <c r="D1" s="315"/>
      <c r="E1" s="315"/>
      <c r="F1" s="1"/>
      <c r="G1" s="1"/>
      <c r="H1" s="1"/>
      <c r="I1" s="1"/>
    </row>
    <row r="2" spans="1:10" ht="15.75" x14ac:dyDescent="0.25">
      <c r="A2" s="77" t="s">
        <v>1</v>
      </c>
      <c r="B2" s="77"/>
      <c r="C2" s="77"/>
      <c r="D2" s="77"/>
      <c r="E2" s="77"/>
      <c r="F2" s="1"/>
      <c r="G2" s="1"/>
      <c r="H2" s="1"/>
      <c r="I2" s="1"/>
    </row>
    <row r="3" spans="1:10" ht="15.75" x14ac:dyDescent="0.25">
      <c r="A3" s="316" t="s">
        <v>2</v>
      </c>
      <c r="B3" s="316"/>
      <c r="C3" s="316"/>
      <c r="D3" s="316"/>
      <c r="E3" s="316"/>
      <c r="F3" s="1"/>
      <c r="G3" s="1"/>
      <c r="H3" s="1"/>
      <c r="I3" s="1"/>
    </row>
    <row r="4" spans="1:10" ht="15.75" x14ac:dyDescent="0.25">
      <c r="A4" s="317" t="s">
        <v>3</v>
      </c>
      <c r="B4" s="317"/>
      <c r="C4" s="317"/>
      <c r="D4" s="317"/>
      <c r="E4" s="317"/>
      <c r="F4" s="1"/>
      <c r="G4" s="1"/>
      <c r="H4" s="1"/>
      <c r="I4" s="1"/>
    </row>
    <row r="5" spans="1:10" ht="15.75" x14ac:dyDescent="0.25">
      <c r="A5" s="317" t="s">
        <v>4</v>
      </c>
      <c r="B5" s="317"/>
      <c r="C5" s="317"/>
      <c r="D5" s="317"/>
      <c r="E5" s="317"/>
      <c r="F5" s="1"/>
      <c r="G5" s="1"/>
      <c r="H5" s="1"/>
      <c r="I5" s="1"/>
    </row>
    <row r="6" spans="1:10" x14ac:dyDescent="0.25">
      <c r="A6" s="319"/>
      <c r="B6" s="319"/>
      <c r="C6" s="319"/>
      <c r="D6" s="319"/>
      <c r="E6" s="319"/>
      <c r="F6" s="319"/>
      <c r="G6" s="319"/>
      <c r="H6" s="319"/>
      <c r="I6" s="319"/>
      <c r="J6" s="319"/>
    </row>
    <row r="7" spans="1:10" ht="42.75" customHeight="1" x14ac:dyDescent="0.25">
      <c r="A7" s="320" t="s">
        <v>232</v>
      </c>
      <c r="B7" s="320"/>
      <c r="C7" s="320"/>
      <c r="D7" s="320"/>
      <c r="E7" s="320"/>
      <c r="F7" s="320"/>
      <c r="G7" s="320"/>
      <c r="H7" s="320"/>
      <c r="I7" s="320"/>
      <c r="J7" s="320"/>
    </row>
    <row r="8" spans="1:10" x14ac:dyDescent="0.25">
      <c r="A8" s="321"/>
      <c r="B8" s="321"/>
      <c r="C8" s="321"/>
      <c r="D8" s="321"/>
      <c r="E8" s="321"/>
      <c r="F8" s="321"/>
      <c r="G8" s="321"/>
      <c r="H8" s="321"/>
      <c r="I8" s="321"/>
      <c r="J8" s="322"/>
    </row>
    <row r="9" spans="1:10" x14ac:dyDescent="0.25">
      <c r="A9" s="323" t="s">
        <v>5</v>
      </c>
      <c r="B9" s="323" t="s">
        <v>160</v>
      </c>
      <c r="C9" s="323" t="s">
        <v>161</v>
      </c>
      <c r="D9" s="323" t="s">
        <v>162</v>
      </c>
      <c r="E9" s="326" t="s">
        <v>163</v>
      </c>
      <c r="F9" s="327"/>
      <c r="G9" s="327"/>
      <c r="H9" s="327"/>
      <c r="I9" s="327"/>
      <c r="J9" s="328"/>
    </row>
    <row r="10" spans="1:10" ht="63" customHeight="1" x14ac:dyDescent="0.25">
      <c r="A10" s="324"/>
      <c r="B10" s="324"/>
      <c r="C10" s="324"/>
      <c r="D10" s="324"/>
      <c r="E10" s="305" t="s">
        <v>219</v>
      </c>
      <c r="F10" s="306"/>
      <c r="G10" s="307" t="s">
        <v>221</v>
      </c>
      <c r="H10" s="308"/>
      <c r="I10" s="309" t="s">
        <v>220</v>
      </c>
      <c r="J10" s="310"/>
    </row>
    <row r="11" spans="1:10" ht="51" x14ac:dyDescent="0.25">
      <c r="A11" s="325"/>
      <c r="B11" s="325"/>
      <c r="C11" s="325"/>
      <c r="D11" s="325"/>
      <c r="E11" s="78" t="s">
        <v>164</v>
      </c>
      <c r="F11" s="79" t="s">
        <v>205</v>
      </c>
      <c r="G11" s="80" t="s">
        <v>164</v>
      </c>
      <c r="H11" s="80" t="s">
        <v>165</v>
      </c>
      <c r="I11" s="81" t="s">
        <v>164</v>
      </c>
      <c r="J11" s="82" t="s">
        <v>165</v>
      </c>
    </row>
    <row r="12" spans="1:10" x14ac:dyDescent="0.25">
      <c r="A12" s="83" t="s">
        <v>147</v>
      </c>
      <c r="B12" s="73" t="str">
        <f>'Resumo Geral (MO+MAT.)'!B15</f>
        <v>Motorista Executivo I</v>
      </c>
      <c r="C12" s="101" t="s">
        <v>161</v>
      </c>
      <c r="D12" s="102">
        <v>6959.55</v>
      </c>
      <c r="E12" s="103">
        <v>5789.26</v>
      </c>
      <c r="F12" s="104">
        <f>(E12-D12)/D12</f>
        <v>-0.16815598709686688</v>
      </c>
      <c r="G12" s="105">
        <v>5051.72</v>
      </c>
      <c r="H12" s="106">
        <f>(G12-D12)/D12</f>
        <v>-0.27413122974904985</v>
      </c>
      <c r="I12" s="107">
        <v>0</v>
      </c>
      <c r="J12" s="108">
        <f>(I12-D12)/D12</f>
        <v>-1</v>
      </c>
    </row>
    <row r="13" spans="1:10" x14ac:dyDescent="0.25">
      <c r="A13" s="83" t="s">
        <v>214</v>
      </c>
      <c r="B13" s="73" t="str">
        <f>'Resumo Geral (MO+MAT.)'!B16</f>
        <v>Motorista Executivo II</v>
      </c>
      <c r="C13" s="101" t="s">
        <v>161</v>
      </c>
      <c r="D13" s="102">
        <v>7454.2</v>
      </c>
      <c r="E13" s="103">
        <v>0</v>
      </c>
      <c r="F13" s="104">
        <f>(E13-D13)/D13</f>
        <v>-1</v>
      </c>
      <c r="G13" s="105">
        <v>11339</v>
      </c>
      <c r="H13" s="106">
        <f>(G13-D13)/D13</f>
        <v>0.52115585844222057</v>
      </c>
      <c r="I13" s="107">
        <v>8009.29</v>
      </c>
      <c r="J13" s="108">
        <f>(I13-D13)/D13</f>
        <v>7.4466743580800104E-2</v>
      </c>
    </row>
    <row r="14" spans="1:10" x14ac:dyDescent="0.25">
      <c r="A14" s="318" t="s">
        <v>166</v>
      </c>
      <c r="B14" s="318"/>
      <c r="C14" s="318"/>
      <c r="D14" s="318"/>
      <c r="E14" s="318"/>
      <c r="F14" s="318"/>
      <c r="G14" s="318"/>
      <c r="H14" s="318"/>
      <c r="I14" s="318"/>
      <c r="J14" s="318"/>
    </row>
    <row r="15" spans="1:10" ht="88.5" customHeight="1" x14ac:dyDescent="0.25">
      <c r="A15" s="76" t="s">
        <v>206</v>
      </c>
      <c r="B15" s="312" t="s">
        <v>242</v>
      </c>
      <c r="C15" s="313"/>
      <c r="D15" s="313"/>
      <c r="E15" s="313"/>
      <c r="F15" s="313"/>
      <c r="G15" s="313"/>
      <c r="H15" s="313"/>
      <c r="I15" s="313"/>
      <c r="J15" s="314"/>
    </row>
    <row r="16" spans="1:10" x14ac:dyDescent="0.25">
      <c r="A16" s="269"/>
      <c r="B16" s="269"/>
      <c r="C16" s="269"/>
      <c r="D16" s="269"/>
      <c r="E16" s="269"/>
      <c r="F16" s="269"/>
      <c r="G16" s="269"/>
      <c r="H16" s="269"/>
      <c r="I16" s="269"/>
      <c r="J16" s="269"/>
    </row>
    <row r="17" spans="1:10" ht="37.5" customHeight="1" x14ac:dyDescent="0.25">
      <c r="A17" s="311" t="s">
        <v>241</v>
      </c>
      <c r="B17" s="311"/>
      <c r="C17" s="311"/>
      <c r="D17" s="311"/>
      <c r="E17" s="311"/>
      <c r="F17" s="311"/>
      <c r="G17" s="311"/>
      <c r="H17" s="311"/>
      <c r="I17" s="311"/>
      <c r="J17" s="311"/>
    </row>
  </sheetData>
  <mergeCells count="19">
    <mergeCell ref="A1:E1"/>
    <mergeCell ref="A3:E3"/>
    <mergeCell ref="A4:E4"/>
    <mergeCell ref="A5:E5"/>
    <mergeCell ref="A14:J14"/>
    <mergeCell ref="A6:J6"/>
    <mergeCell ref="A7:J7"/>
    <mergeCell ref="A8:J8"/>
    <mergeCell ref="A9:A11"/>
    <mergeCell ref="B9:B11"/>
    <mergeCell ref="C9:C11"/>
    <mergeCell ref="D9:D11"/>
    <mergeCell ref="E9:J9"/>
    <mergeCell ref="E10:F10"/>
    <mergeCell ref="G10:H10"/>
    <mergeCell ref="I10:J10"/>
    <mergeCell ref="A17:J17"/>
    <mergeCell ref="A16:J16"/>
    <mergeCell ref="B15:J15"/>
  </mergeCells>
  <pageMargins left="0.59055118110236227" right="0.59055118110236227" top="0.78740157480314965" bottom="0.78740157480314965" header="0.31496062992125984" footer="0.31496062992125984"/>
  <pageSetup paperSize="9" scale="90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zoomScale="130" zoomScaleNormal="130" workbookViewId="0">
      <selection activeCell="H19" sqref="H19"/>
    </sheetView>
  </sheetViews>
  <sheetFormatPr defaultRowHeight="15" x14ac:dyDescent="0.25"/>
  <cols>
    <col min="1" max="1" width="5.140625" customWidth="1"/>
    <col min="2" max="2" width="26.5703125" customWidth="1"/>
    <col min="3" max="3" width="8.5703125" customWidth="1"/>
    <col min="4" max="5" width="8.42578125" customWidth="1"/>
    <col min="6" max="6" width="10.85546875" customWidth="1"/>
    <col min="7" max="7" width="10.140625" customWidth="1"/>
    <col min="8" max="8" width="15.28515625" bestFit="1" customWidth="1"/>
  </cols>
  <sheetData>
    <row r="1" spans="1:15" ht="15.75" thickBot="1" x14ac:dyDescent="0.3"/>
    <row r="2" spans="1:15" x14ac:dyDescent="0.25">
      <c r="A2" s="330" t="s">
        <v>203</v>
      </c>
      <c r="B2" s="331"/>
      <c r="C2" s="331"/>
      <c r="D2" s="331"/>
      <c r="E2" s="331"/>
      <c r="F2" s="331"/>
      <c r="G2" s="331"/>
      <c r="H2" s="332"/>
    </row>
    <row r="3" spans="1:15" ht="15" customHeight="1" x14ac:dyDescent="0.25">
      <c r="A3" s="346" t="s">
        <v>5</v>
      </c>
      <c r="B3" s="333" t="s">
        <v>100</v>
      </c>
      <c r="C3" s="333" t="s">
        <v>168</v>
      </c>
      <c r="D3" s="333" t="s">
        <v>169</v>
      </c>
      <c r="E3" s="339" t="s">
        <v>170</v>
      </c>
      <c r="F3" s="341"/>
      <c r="G3" s="339" t="s">
        <v>176</v>
      </c>
      <c r="H3" s="353"/>
    </row>
    <row r="4" spans="1:15" x14ac:dyDescent="0.25">
      <c r="A4" s="347"/>
      <c r="B4" s="334"/>
      <c r="C4" s="334"/>
      <c r="D4" s="334"/>
      <c r="E4" s="349"/>
      <c r="F4" s="350"/>
      <c r="G4" s="349"/>
      <c r="H4" s="354"/>
    </row>
    <row r="5" spans="1:15" x14ac:dyDescent="0.25">
      <c r="A5" s="347"/>
      <c r="B5" s="334"/>
      <c r="C5" s="334"/>
      <c r="D5" s="334"/>
      <c r="E5" s="351"/>
      <c r="F5" s="352"/>
      <c r="G5" s="351"/>
      <c r="H5" s="355"/>
    </row>
    <row r="6" spans="1:15" ht="30" customHeight="1" x14ac:dyDescent="0.25">
      <c r="A6" s="347"/>
      <c r="B6" s="334"/>
      <c r="C6" s="334"/>
      <c r="D6" s="334"/>
      <c r="E6" s="333" t="s">
        <v>173</v>
      </c>
      <c r="F6" s="333" t="s">
        <v>171</v>
      </c>
      <c r="G6" s="333" t="s">
        <v>174</v>
      </c>
      <c r="H6" s="343" t="s">
        <v>175</v>
      </c>
    </row>
    <row r="7" spans="1:15" x14ac:dyDescent="0.25">
      <c r="A7" s="347"/>
      <c r="B7" s="334"/>
      <c r="C7" s="334"/>
      <c r="D7" s="334"/>
      <c r="E7" s="334"/>
      <c r="F7" s="334"/>
      <c r="G7" s="334"/>
      <c r="H7" s="344"/>
    </row>
    <row r="8" spans="1:15" x14ac:dyDescent="0.25">
      <c r="A8" s="348"/>
      <c r="B8" s="335"/>
      <c r="C8" s="335"/>
      <c r="D8" s="335"/>
      <c r="E8" s="335"/>
      <c r="F8" s="335"/>
      <c r="G8" s="335"/>
      <c r="H8" s="345"/>
    </row>
    <row r="9" spans="1:15" x14ac:dyDescent="0.25">
      <c r="A9" s="128">
        <v>1</v>
      </c>
      <c r="B9" s="86" t="s">
        <v>212</v>
      </c>
      <c r="C9" s="84" t="s">
        <v>26</v>
      </c>
      <c r="D9" s="84" t="s">
        <v>204</v>
      </c>
      <c r="E9" s="84">
        <v>4</v>
      </c>
      <c r="F9" s="84">
        <v>1</v>
      </c>
      <c r="G9" s="85">
        <f>' Motorista Executivo I'!G158</f>
        <v>8550.7152467676078</v>
      </c>
      <c r="H9" s="129">
        <f>ROUND(E9*G9,2)</f>
        <v>34202.86</v>
      </c>
    </row>
    <row r="10" spans="1:15" x14ac:dyDescent="0.25">
      <c r="A10" s="130">
        <v>2</v>
      </c>
      <c r="B10" s="86" t="s">
        <v>213</v>
      </c>
      <c r="C10" s="84" t="s">
        <v>26</v>
      </c>
      <c r="D10" s="84" t="s">
        <v>204</v>
      </c>
      <c r="E10" s="126">
        <v>4</v>
      </c>
      <c r="F10" s="84">
        <v>1</v>
      </c>
      <c r="G10" s="85">
        <f>' Motorista Executivo II'!G158</f>
        <v>9180.0791245346791</v>
      </c>
      <c r="H10" s="129">
        <f>ROUND(E10*G10,2)</f>
        <v>36720.32</v>
      </c>
    </row>
    <row r="11" spans="1:15" x14ac:dyDescent="0.25">
      <c r="A11" s="336" t="s">
        <v>172</v>
      </c>
      <c r="B11" s="337"/>
      <c r="C11" s="337"/>
      <c r="D11" s="337"/>
      <c r="E11" s="338"/>
      <c r="F11" s="84">
        <v>8</v>
      </c>
      <c r="G11" s="84"/>
      <c r="H11" s="131"/>
    </row>
    <row r="12" spans="1:15" x14ac:dyDescent="0.25">
      <c r="A12" s="128"/>
      <c r="B12" s="342" t="s">
        <v>167</v>
      </c>
      <c r="C12" s="337"/>
      <c r="D12" s="337"/>
      <c r="E12" s="337"/>
      <c r="F12" s="337"/>
      <c r="G12" s="338"/>
      <c r="H12" s="132">
        <f>ROUND(SUM(H9:H10),2)</f>
        <v>70923.179999999993</v>
      </c>
      <c r="O12" s="127"/>
    </row>
    <row r="13" spans="1:15" x14ac:dyDescent="0.25">
      <c r="A13" s="128"/>
      <c r="B13" s="339" t="s">
        <v>7</v>
      </c>
      <c r="C13" s="340"/>
      <c r="D13" s="340"/>
      <c r="E13" s="340"/>
      <c r="F13" s="340"/>
      <c r="G13" s="341"/>
      <c r="H13" s="133">
        <f>ROUND(H12*12,2)</f>
        <v>851078.16</v>
      </c>
    </row>
    <row r="14" spans="1:15" ht="15.75" thickBot="1" x14ac:dyDescent="0.3">
      <c r="A14" s="134"/>
      <c r="B14" s="329" t="s">
        <v>227</v>
      </c>
      <c r="C14" s="329"/>
      <c r="D14" s="329"/>
      <c r="E14" s="329"/>
      <c r="F14" s="329"/>
      <c r="G14" s="329"/>
      <c r="H14" s="135">
        <f>ROUND(H13*2.5,2)</f>
        <v>2127695.4</v>
      </c>
    </row>
    <row r="19" spans="8:8" x14ac:dyDescent="0.25">
      <c r="H19" s="127"/>
    </row>
  </sheetData>
  <mergeCells count="15">
    <mergeCell ref="B14:G14"/>
    <mergeCell ref="A2:H2"/>
    <mergeCell ref="E6:E8"/>
    <mergeCell ref="G6:G8"/>
    <mergeCell ref="F6:F8"/>
    <mergeCell ref="A11:E11"/>
    <mergeCell ref="B13:G13"/>
    <mergeCell ref="B12:G12"/>
    <mergeCell ref="H6:H8"/>
    <mergeCell ref="A3:A8"/>
    <mergeCell ref="B3:B8"/>
    <mergeCell ref="C3:C8"/>
    <mergeCell ref="D3:D8"/>
    <mergeCell ref="E3:F5"/>
    <mergeCell ref="G3:H5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 Motorista Executivo I</vt:lpstr>
      <vt:lpstr> Motorista Executivo II</vt:lpstr>
      <vt:lpstr>Uniformes</vt:lpstr>
      <vt:lpstr>Resumo Geral (MO+MAT.)</vt:lpstr>
      <vt:lpstr>Pesquisa Preços O. Públicos</vt:lpstr>
      <vt:lpstr>Objeto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Alvanir da Silva Carvalho</dc:creator>
  <cp:lastModifiedBy>Luciene Pereira Gama</cp:lastModifiedBy>
  <cp:lastPrinted>2020-06-21T18:10:04Z</cp:lastPrinted>
  <dcterms:created xsi:type="dcterms:W3CDTF">2020-06-17T10:05:11Z</dcterms:created>
  <dcterms:modified xsi:type="dcterms:W3CDTF">2024-05-08T20:10:41Z</dcterms:modified>
</cp:coreProperties>
</file>